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20" yWindow="150" windowWidth="9420" windowHeight="4950" firstSheet="2" activeTab="2"/>
  </bookViews>
  <sheets>
    <sheet name="000000" sheetId="31" state="veryHidden" r:id="rId1"/>
    <sheet name="100000" sheetId="32" state="veryHidden" r:id="rId2"/>
    <sheet name="AHU Selection Worksheet" sheetId="2" r:id="rId3"/>
  </sheets>
  <definedNames>
    <definedName name="_Order1" hidden="1">255</definedName>
    <definedName name="_Order2" hidden="1">255</definedName>
    <definedName name="_xlnm.Print_Area" localSheetId="2">'AHU Selection Worksheet'!$A$1:$N$56</definedName>
  </definedNames>
  <calcPr calcId="145621"/>
</workbook>
</file>

<file path=xl/calcChain.xml><?xml version="1.0" encoding="utf-8"?>
<calcChain xmlns="http://schemas.openxmlformats.org/spreadsheetml/2006/main">
  <c r="N31" i="2" l="1"/>
  <c r="N35" i="2" l="1"/>
  <c r="N43" i="2"/>
  <c r="N42" i="2"/>
  <c r="N41" i="2"/>
  <c r="N40" i="2"/>
  <c r="N39" i="2"/>
  <c r="N38" i="2"/>
  <c r="N37" i="2"/>
  <c r="N36" i="2"/>
  <c r="N30" i="2"/>
  <c r="N29" i="2"/>
  <c r="N28" i="2"/>
  <c r="N27" i="2"/>
  <c r="N26" i="2"/>
  <c r="N25" i="2"/>
  <c r="N24" i="2"/>
  <c r="N23" i="2"/>
  <c r="N22" i="2"/>
  <c r="N21" i="2"/>
  <c r="N19" i="2"/>
  <c r="N18" i="2"/>
  <c r="N17" i="2"/>
  <c r="N20" i="2"/>
  <c r="N16" i="2"/>
  <c r="N13" i="2"/>
  <c r="N15" i="2"/>
  <c r="N14" i="2"/>
  <c r="N12" i="2"/>
  <c r="N11" i="2"/>
  <c r="N44" i="2" l="1"/>
  <c r="N32" i="2"/>
  <c r="E8" i="2" l="1"/>
  <c r="E11" i="2" s="1"/>
  <c r="K2" i="2"/>
  <c r="E34" i="2"/>
  <c r="E50" i="2"/>
  <c r="N54" i="2"/>
  <c r="N55" i="2"/>
  <c r="R20" i="2"/>
  <c r="U32" i="2" s="1"/>
  <c r="U20" i="2"/>
  <c r="V22" i="2" s="1"/>
  <c r="U21" i="2"/>
  <c r="U22" i="2" s="1"/>
  <c r="R37" i="2"/>
  <c r="U49" i="2" s="1"/>
  <c r="U37" i="2"/>
  <c r="V39" i="2" s="1"/>
  <c r="R38" i="2" l="1"/>
  <c r="R39" i="2" s="1"/>
  <c r="R40" i="2" s="1"/>
  <c r="R42" i="2" s="1"/>
  <c r="R21" i="2"/>
  <c r="R22" i="2" s="1"/>
  <c r="R23" i="2" s="1"/>
  <c r="R25" i="2" s="1"/>
  <c r="E10" i="2"/>
  <c r="E12" i="2" s="1"/>
  <c r="E13" i="2" s="1"/>
  <c r="N45" i="2"/>
  <c r="N46" i="2" s="1"/>
  <c r="U24" i="2"/>
  <c r="U23" i="2"/>
  <c r="U25" i="2" s="1"/>
  <c r="U38" i="2"/>
  <c r="U39" i="2" s="1"/>
  <c r="U41" i="2" s="1"/>
  <c r="E14" i="2" l="1"/>
  <c r="R24" i="2"/>
  <c r="R26" i="2" s="1"/>
  <c r="R27" i="2" s="1"/>
  <c r="R41" i="2"/>
  <c r="R43" i="2" s="1"/>
  <c r="R44" i="2" s="1"/>
  <c r="U26" i="2"/>
  <c r="U27" i="2" s="1"/>
  <c r="U28" i="2" s="1"/>
  <c r="U30" i="2" s="1"/>
  <c r="U31" i="2" s="1"/>
  <c r="E38" i="2"/>
  <c r="N47" i="2"/>
  <c r="U40" i="2"/>
  <c r="U42" i="2" s="1"/>
  <c r="U43" i="2" s="1"/>
  <c r="U44" i="2" s="1"/>
  <c r="U45" i="2" s="1"/>
  <c r="U47" i="2" s="1"/>
  <c r="U48" i="2" s="1"/>
  <c r="N33" i="2"/>
  <c r="E20" i="2"/>
  <c r="E21" i="2" s="1"/>
  <c r="E23" i="2" s="1"/>
  <c r="C42" i="2" l="1"/>
  <c r="D42" i="2" s="1"/>
  <c r="E39" i="2"/>
  <c r="U33" i="2"/>
  <c r="U29" i="2"/>
  <c r="U34" i="2"/>
  <c r="U50" i="2"/>
  <c r="U51" i="2"/>
  <c r="U46" i="2"/>
  <c r="E33" i="2"/>
  <c r="E24" i="2"/>
  <c r="E25" i="2"/>
  <c r="R3" i="2" l="1"/>
  <c r="D41" i="2"/>
  <c r="E51" i="2"/>
  <c r="E52" i="2" s="1"/>
  <c r="E54" i="2"/>
  <c r="E56" i="2" s="1"/>
  <c r="N56" i="2" s="1"/>
  <c r="C41" i="2"/>
  <c r="E32" i="2" s="1"/>
  <c r="U3" i="2"/>
  <c r="U15" i="2"/>
  <c r="R4" i="2"/>
  <c r="R5" i="2" s="1"/>
  <c r="R6" i="2" l="1"/>
  <c r="R8" i="2" s="1"/>
  <c r="R7" i="2"/>
  <c r="U4" i="2"/>
  <c r="U5" i="2" s="1"/>
  <c r="V5" i="2"/>
  <c r="N52" i="2"/>
  <c r="R9" i="2" l="1"/>
  <c r="R10" i="2" s="1"/>
  <c r="U6" i="2"/>
  <c r="U8" i="2" s="1"/>
  <c r="U7" i="2"/>
  <c r="U9" i="2" l="1"/>
  <c r="U10" i="2" s="1"/>
  <c r="U11" i="2" s="1"/>
  <c r="U13" i="2" s="1"/>
  <c r="U12" i="2" l="1"/>
  <c r="U14" i="2"/>
  <c r="U17" i="2"/>
  <c r="F42" i="2"/>
  <c r="F41" i="2" s="1"/>
  <c r="E43" i="2" s="1"/>
  <c r="U16" i="2"/>
  <c r="E44" i="2" l="1"/>
  <c r="E47" i="2"/>
</calcChain>
</file>

<file path=xl/comments1.xml><?xml version="1.0" encoding="utf-8"?>
<comments xmlns="http://schemas.openxmlformats.org/spreadsheetml/2006/main">
  <authors>
    <author>Jeff Setzer</author>
  </authors>
  <commentList>
    <comment ref="E37" authorId="0">
      <text>
        <r>
          <rPr>
            <b/>
            <sz val="8"/>
            <color indexed="81"/>
            <rFont val="Tahoma"/>
            <family val="2"/>
          </rPr>
          <t>Draw Thru
or
Blow Thru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<sst xmlns="http://schemas.openxmlformats.org/spreadsheetml/2006/main" count="222" uniqueCount="105">
  <si>
    <t xml:space="preserve"> </t>
  </si>
  <si>
    <t>Project:</t>
  </si>
  <si>
    <t>Project No.:</t>
  </si>
  <si>
    <t>AHU STATIC PRESSURE CALCS</t>
  </si>
  <si>
    <t>Is pressure between 0% and 10%?</t>
  </si>
  <si>
    <t>DB</t>
  </si>
  <si>
    <t>WB</t>
  </si>
  <si>
    <t>LEAVING COIL CONDITIONS</t>
  </si>
  <si>
    <t>OUTSIDE AIR CONDITIONS</t>
  </si>
  <si>
    <t>INSIDE AIR CONDITIONS</t>
  </si>
  <si>
    <t>=</t>
  </si>
  <si>
    <t>Date:</t>
  </si>
  <si>
    <t>Calc. By:</t>
  </si>
  <si>
    <t>COOLING COIL DATA</t>
  </si>
  <si>
    <t>TEMPDB:</t>
  </si>
  <si>
    <t>TEMPK:</t>
  </si>
  <si>
    <t>AA:</t>
  </si>
  <si>
    <t>BB:</t>
  </si>
  <si>
    <t>CC:</t>
  </si>
  <si>
    <t>DD:</t>
  </si>
  <si>
    <t>FNGOFF:</t>
  </si>
  <si>
    <t>PSATDB:</t>
  </si>
  <si>
    <t>TEMPWB:</t>
  </si>
  <si>
    <t>PSATWB:</t>
  </si>
  <si>
    <t>PPWV:</t>
  </si>
  <si>
    <t>FNRH:</t>
  </si>
  <si>
    <t>WLB:</t>
  </si>
  <si>
    <t>WGR:</t>
  </si>
  <si>
    <t>VOLDA:</t>
  </si>
  <si>
    <t>VOLMX:</t>
  </si>
  <si>
    <t>FNENTH:</t>
  </si>
  <si>
    <t>AHU-1</t>
  </si>
  <si>
    <t>PRE-HEAT COIL DATA</t>
  </si>
  <si>
    <t>RE-HEAT (OR HEATING) COIL DATA</t>
  </si>
  <si>
    <t>Unit Identification Number:</t>
  </si>
  <si>
    <t>Diversity of VAV System (%)</t>
  </si>
  <si>
    <t>CFM of VAV Boxes with Diversity</t>
  </si>
  <si>
    <t>Enthalpy</t>
  </si>
  <si>
    <t>Entering Air Temp. =</t>
  </si>
  <si>
    <t>Leaving Air Temp. =</t>
  </si>
  <si>
    <t>Tonnage</t>
  </si>
  <si>
    <t>Leaving Water Temperature</t>
  </si>
  <si>
    <t>Entering Water Temperature</t>
  </si>
  <si>
    <t>Outside Air Temp.  =</t>
  </si>
  <si>
    <t>Return Air Temp. =</t>
  </si>
  <si>
    <t>Total CFM of Constant Vol. Boxes</t>
  </si>
  <si>
    <t>Total CFM of Variable Vol. Boxes</t>
  </si>
  <si>
    <t>Total CFM</t>
  </si>
  <si>
    <t>Scheduled AHU CFM</t>
  </si>
  <si>
    <t>Total Exhaust CFM</t>
  </si>
  <si>
    <t>Percent Outside Air</t>
  </si>
  <si>
    <t>Outside Air</t>
  </si>
  <si>
    <t>Scheduled Outside Air CFM</t>
  </si>
  <si>
    <t>Percent Pressurization</t>
  </si>
  <si>
    <t>Return Air CFM</t>
  </si>
  <si>
    <t>Number of People</t>
  </si>
  <si>
    <t>Return Air Temperatire</t>
  </si>
  <si>
    <t>Room Delta T</t>
  </si>
  <si>
    <t>Fan Location/Type</t>
  </si>
  <si>
    <t>Motor Heat Gain</t>
  </si>
  <si>
    <t>Temperature Rise</t>
  </si>
  <si>
    <t>Chilled Water Flow</t>
  </si>
  <si>
    <t>Outside Air Temperature</t>
  </si>
  <si>
    <t>Return Air Temperature</t>
  </si>
  <si>
    <t>Entering Air Temperature</t>
  </si>
  <si>
    <t>Pre-Heat Coil BTU</t>
  </si>
  <si>
    <t>Entering (or Outside) Air Temperature</t>
  </si>
  <si>
    <t>Leaving Air Temperature</t>
  </si>
  <si>
    <t>Re-Heat (or Heating) Coil BTU</t>
  </si>
  <si>
    <t>External Static Pressure</t>
  </si>
  <si>
    <t>Discharge Plenum</t>
  </si>
  <si>
    <t>Final Filter</t>
  </si>
  <si>
    <t>Med. Pressure Duct</t>
  </si>
  <si>
    <t>Terminal Box</t>
  </si>
  <si>
    <t>Reheat Coil</t>
  </si>
  <si>
    <t>Low Pressure S.A. Duct</t>
  </si>
  <si>
    <t>Volume Damper</t>
  </si>
  <si>
    <t>Supply Air Grille</t>
  </si>
  <si>
    <t>Return Air Device</t>
  </si>
  <si>
    <t>Low Pressure R.A. Duct</t>
  </si>
  <si>
    <t>Return Air Plenum</t>
  </si>
  <si>
    <t>Pre-Filter</t>
  </si>
  <si>
    <t>Fire Dampers</t>
  </si>
  <si>
    <t>Smoke Dampers</t>
  </si>
  <si>
    <t>Fire/Smoke Dampers</t>
  </si>
  <si>
    <t>O.A. Louvers</t>
  </si>
  <si>
    <t>Outside Air Damper</t>
  </si>
  <si>
    <t>Outside Air Duct</t>
  </si>
  <si>
    <t>Misc.</t>
  </si>
  <si>
    <t>Total External Static Pressure</t>
  </si>
  <si>
    <t>Scheduled External S.P.</t>
  </si>
  <si>
    <t>Internal Static Pressure</t>
  </si>
  <si>
    <t>Mixing Box</t>
  </si>
  <si>
    <t>Blender/Dampers</t>
  </si>
  <si>
    <t>Pre-Heat Coil</t>
  </si>
  <si>
    <t>Cooling Coil</t>
  </si>
  <si>
    <t>Diffuser Section</t>
  </si>
  <si>
    <t>Cartridge/Final Filters</t>
  </si>
  <si>
    <t>Total Internal Static Pressure</t>
  </si>
  <si>
    <t>Total Static Pressure</t>
  </si>
  <si>
    <t>Brake Horsepower</t>
  </si>
  <si>
    <t>Hot Water Flow (GPM)</t>
  </si>
  <si>
    <t>Scheduled Total S.P.</t>
  </si>
  <si>
    <t>AIR HANDLING UNIT SELECTION WORKSHEET</t>
  </si>
  <si>
    <t>Blow Thru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</si>
</sst>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0.0_)"/>
    <numFmt numFmtId="165" formatCode="0.00_)"/>
    <numFmt numFmtId="166" formatCode="0.0%"/>
    <numFmt numFmtId="167" formatCode="0_)"/>
    <numFmt numFmtId="168" formatCode="0.0"/>
    <numFmt numFmtId="169" formatCode="mmmm\ d\,\ yyyy"/>
    <numFmt numFmtId="170" formatCode="0.00\ &quot;in.&quot;"/>
    <numFmt numFmtId="171" formatCode="0.00\ &quot;BHP&quot;"/>
    <numFmt numFmtId="172" formatCode="0.0\°\F"/>
    <numFmt numFmtId="173" formatCode="0\ &quot;BTU&quot;"/>
    <numFmt numFmtId="174" formatCode="0.0\ &quot;tons&quot;"/>
    <numFmt numFmtId="175" formatCode="0.0\ &quot;gpm&quot;"/>
    <numFmt numFmtId="176" formatCode="0\ &quot;cfm&quot;"/>
    <numFmt numFmtId="177" formatCode="0.0\ &quot;sf&quot;"/>
    <numFmt numFmtId="178" formatCode="&quot;Total Sensible Heat (with&quot;\ 0%\ &quot;SF)&quot;"/>
    <numFmt numFmtId="179" formatCode="&quot;Total Latent Heat (with&quot;\ 0%\ &quot;SF)&quot;"/>
    <numFmt numFmtId="180" formatCode="&quot;Grand Total Heat (with&quot;\ 0%\ &quot;SF)&quot;"/>
    <numFmt numFmtId="181" formatCode="&quot;Coil Area @ &quot;0\ &quot;fpm&quot;"/>
    <numFmt numFmtId="182" formatCode="0\ &quot;ft.&quot;"/>
    <numFmt numFmtId="183" formatCode="#,##0\ &quot;Btuh&quot;"/>
    <numFmt numFmtId="184" formatCode="0.00\°\F"/>
  </numFmts>
  <fonts count="10" x14ac:knownFonts="1">
    <font>
      <sz val="10"/>
      <name val="Helv"/>
    </font>
    <font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Dot">
        <color indexed="55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mediumDashDot">
        <color indexed="55"/>
      </bottom>
      <diagonal/>
    </border>
    <border>
      <left/>
      <right/>
      <top style="medium">
        <color indexed="64"/>
      </top>
      <bottom/>
      <diagonal/>
    </border>
    <border>
      <left/>
      <right style="mediumDashDot">
        <color indexed="55"/>
      </right>
      <top style="mediumDashDot">
        <color indexed="55"/>
      </top>
      <bottom/>
      <diagonal/>
    </border>
    <border>
      <left style="mediumDashDot">
        <color indexed="55"/>
      </left>
      <right/>
      <top style="mediumDashDot">
        <color indexed="55"/>
      </top>
      <bottom/>
      <diagonal/>
    </border>
    <border>
      <left style="mediumDashDot">
        <color indexed="55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Dot">
        <color indexed="55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DashDot">
        <color theme="0" tint="-0.34998626667073579"/>
      </bottom>
      <diagonal/>
    </border>
    <border>
      <left/>
      <right/>
      <top style="mediumDashDot">
        <color theme="0" tint="-0.34998626667073579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9" fontId="1" fillId="0" borderId="0" applyFont="0" applyFill="0" applyBorder="0" applyAlignment="0" applyProtection="0"/>
  </cellStyleXfs>
  <cellXfs count="139">
    <xf numFmtId="0" fontId="0" fillId="0" borderId="0" xfId="0"/>
    <xf numFmtId="167" fontId="1" fillId="0" borderId="21" xfId="0" applyNumberFormat="1" applyFont="1" applyBorder="1" applyAlignment="1" applyProtection="1">
      <alignment horizontal="right" vertical="center"/>
    </xf>
    <xf numFmtId="164" fontId="1" fillId="0" borderId="21" xfId="0" applyNumberFormat="1" applyFont="1" applyBorder="1" applyAlignment="1" applyProtection="1">
      <alignment horizontal="left" vertical="center"/>
    </xf>
    <xf numFmtId="167" fontId="1" fillId="0" borderId="21" xfId="0" applyNumberFormat="1" applyFont="1" applyBorder="1" applyAlignment="1" applyProtection="1">
      <alignment horizontal="left" vertical="center"/>
    </xf>
    <xf numFmtId="165" fontId="1" fillId="0" borderId="21" xfId="0" applyNumberFormat="1" applyFont="1" applyBorder="1" applyAlignment="1" applyProtection="1">
      <alignment horizontal="left" vertical="center"/>
    </xf>
    <xf numFmtId="167" fontId="6" fillId="0" borderId="21" xfId="0" applyNumberFormat="1" applyFont="1" applyBorder="1" applyAlignment="1" applyProtection="1">
      <alignment horizontal="center" vertical="center"/>
    </xf>
    <xf numFmtId="167" fontId="1" fillId="0" borderId="21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7" fontId="1" fillId="0" borderId="21" xfId="0" applyNumberFormat="1" applyFont="1" applyBorder="1" applyAlignment="1" applyProtection="1">
      <alignment horizontal="center" vertical="center"/>
    </xf>
    <xf numFmtId="167" fontId="5" fillId="0" borderId="0" xfId="0" applyNumberFormat="1" applyFont="1" applyBorder="1" applyAlignment="1" applyProtection="1">
      <alignment horizontal="center" vertical="center"/>
    </xf>
    <xf numFmtId="167" fontId="5" fillId="0" borderId="0" xfId="0" applyNumberFormat="1" applyFont="1" applyBorder="1" applyAlignment="1" applyProtection="1">
      <alignment horizontal="left" vertical="center"/>
    </xf>
    <xf numFmtId="167" fontId="1" fillId="0" borderId="0" xfId="0" applyNumberFormat="1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left" vertical="center"/>
    </xf>
    <xf numFmtId="167" fontId="1" fillId="0" borderId="0" xfId="0" applyNumberFormat="1" applyFont="1" applyAlignment="1" applyProtection="1">
      <alignment vertical="center"/>
    </xf>
    <xf numFmtId="167" fontId="1" fillId="0" borderId="0" xfId="0" applyNumberFormat="1" applyFont="1" applyAlignment="1" applyProtection="1">
      <alignment horizontal="left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1" fillId="0" borderId="0" xfId="0" applyNumberFormat="1" applyFont="1" applyBorder="1" applyAlignment="1" applyProtection="1">
      <alignment horizontal="center" vertical="center"/>
    </xf>
    <xf numFmtId="167" fontId="1" fillId="0" borderId="5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1" fillId="0" borderId="0" xfId="0" quotePrefix="1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9" fontId="1" fillId="0" borderId="0" xfId="0" applyNumberFormat="1" applyFont="1" applyBorder="1" applyAlignment="1" applyProtection="1">
      <alignment vertical="center"/>
    </xf>
    <xf numFmtId="170" fontId="1" fillId="0" borderId="9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vertical="center"/>
    </xf>
    <xf numFmtId="170" fontId="1" fillId="0" borderId="0" xfId="0" applyNumberFormat="1" applyFont="1" applyBorder="1" applyAlignment="1" applyProtection="1">
      <alignment horizontal="right" vertical="center"/>
    </xf>
    <xf numFmtId="0" fontId="5" fillId="0" borderId="0" xfId="0" quotePrefix="1" applyFont="1" applyBorder="1" applyAlignment="1" applyProtection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170" fontId="1" fillId="0" borderId="0" xfId="0" applyNumberFormat="1" applyFont="1" applyAlignment="1" applyProtection="1">
      <alignment horizontal="left" vertical="center"/>
    </xf>
    <xf numFmtId="170" fontId="1" fillId="0" borderId="4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170" fontId="1" fillId="0" borderId="22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170" fontId="5" fillId="0" borderId="8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165" fontId="1" fillId="0" borderId="27" xfId="0" applyNumberFormat="1" applyFont="1" applyBorder="1" applyAlignment="1" applyProtection="1">
      <alignment horizontal="center" vertical="center"/>
    </xf>
    <xf numFmtId="0" fontId="1" fillId="0" borderId="0" xfId="0" quotePrefix="1" applyFont="1" applyAlignment="1" applyProtection="1">
      <alignment horizontal="center" vertical="center"/>
    </xf>
    <xf numFmtId="170" fontId="1" fillId="0" borderId="0" xfId="0" applyNumberFormat="1" applyFont="1" applyAlignment="1" applyProtection="1">
      <alignment vertical="center"/>
    </xf>
    <xf numFmtId="0" fontId="5" fillId="0" borderId="12" xfId="0" quotePrefix="1" applyFont="1" applyBorder="1" applyAlignment="1" applyProtection="1">
      <alignment horizontal="center" vertical="center"/>
    </xf>
    <xf numFmtId="0" fontId="5" fillId="0" borderId="34" xfId="0" quotePrefix="1" applyFont="1" applyBorder="1" applyAlignment="1" applyProtection="1">
      <alignment horizontal="center" vertical="center"/>
    </xf>
    <xf numFmtId="171" fontId="5" fillId="0" borderId="34" xfId="0" applyNumberFormat="1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34" xfId="0" quotePrefix="1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vertical="center"/>
    </xf>
    <xf numFmtId="168" fontId="5" fillId="0" borderId="34" xfId="0" applyNumberFormat="1" applyFont="1" applyBorder="1" applyAlignment="1" applyProtection="1">
      <alignment horizontal="left" vertical="center"/>
    </xf>
    <xf numFmtId="168" fontId="5" fillId="0" borderId="0" xfId="0" applyNumberFormat="1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vertical="center"/>
    </xf>
    <xf numFmtId="0" fontId="1" fillId="0" borderId="34" xfId="0" applyFont="1" applyBorder="1" applyAlignment="1" applyProtection="1">
      <alignment vertical="center"/>
    </xf>
    <xf numFmtId="172" fontId="1" fillId="0" borderId="14" xfId="0" applyNumberFormat="1" applyFont="1" applyBorder="1" applyAlignment="1" applyProtection="1">
      <alignment horizontal="left" vertical="center"/>
    </xf>
    <xf numFmtId="172" fontId="1" fillId="0" borderId="0" xfId="0" applyNumberFormat="1" applyFont="1" applyBorder="1" applyAlignment="1" applyProtection="1">
      <alignment horizontal="left" vertical="center"/>
    </xf>
    <xf numFmtId="0" fontId="5" fillId="0" borderId="0" xfId="0" quotePrefix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184" fontId="1" fillId="0" borderId="28" xfId="0" applyNumberFormat="1" applyFont="1" applyBorder="1" applyAlignment="1" applyProtection="1">
      <alignment horizontal="center" vertical="center"/>
    </xf>
    <xf numFmtId="184" fontId="1" fillId="0" borderId="31" xfId="0" applyNumberFormat="1" applyFont="1" applyBorder="1" applyAlignment="1" applyProtection="1">
      <alignment horizontal="center" vertical="center"/>
    </xf>
    <xf numFmtId="172" fontId="1" fillId="3" borderId="0" xfId="0" applyNumberFormat="1" applyFont="1" applyFill="1" applyBorder="1" applyAlignment="1" applyProtection="1">
      <alignment horizontal="left" vertical="center"/>
      <protection locked="0"/>
    </xf>
    <xf numFmtId="1" fontId="1" fillId="3" borderId="24" xfId="0" applyNumberFormat="1" applyFont="1" applyFill="1" applyBorder="1" applyAlignment="1" applyProtection="1">
      <alignment horizontal="center" vertical="center"/>
      <protection locked="0"/>
    </xf>
    <xf numFmtId="1" fontId="1" fillId="3" borderId="21" xfId="0" applyNumberFormat="1" applyFont="1" applyFill="1" applyBorder="1" applyAlignment="1" applyProtection="1">
      <alignment horizontal="center" vertical="center"/>
      <protection locked="0"/>
    </xf>
    <xf numFmtId="170" fontId="7" fillId="3" borderId="23" xfId="0" applyNumberFormat="1" applyFont="1" applyFill="1" applyBorder="1" applyAlignment="1" applyProtection="1">
      <alignment horizontal="left" vertical="center"/>
      <protection locked="0"/>
    </xf>
    <xf numFmtId="0" fontId="7" fillId="3" borderId="19" xfId="0" applyFont="1" applyFill="1" applyBorder="1" applyAlignment="1" applyProtection="1">
      <alignment vertical="center"/>
      <protection locked="0"/>
    </xf>
    <xf numFmtId="172" fontId="1" fillId="3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176" fontId="5" fillId="0" borderId="0" xfId="0" applyNumberFormat="1" applyFont="1" applyBorder="1" applyAlignment="1" applyProtection="1">
      <alignment horizontal="center" vertical="center"/>
    </xf>
    <xf numFmtId="176" fontId="1" fillId="0" borderId="9" xfId="0" applyNumberFormat="1" applyFont="1" applyBorder="1" applyAlignment="1" applyProtection="1">
      <alignment horizontal="center" vertical="center"/>
    </xf>
    <xf numFmtId="176" fontId="1" fillId="0" borderId="4" xfId="0" applyNumberFormat="1" applyFont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181" fontId="1" fillId="3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72" fontId="1" fillId="3" borderId="0" xfId="0" applyNumberFormat="1" applyFont="1" applyFill="1" applyBorder="1" applyAlignment="1" applyProtection="1">
      <alignment horizontal="center" vertical="center"/>
      <protection locked="0"/>
    </xf>
    <xf numFmtId="172" fontId="1" fillId="0" borderId="0" xfId="0" applyNumberFormat="1" applyFont="1" applyBorder="1" applyAlignment="1" applyProtection="1">
      <alignment horizontal="center" vertical="center"/>
    </xf>
    <xf numFmtId="183" fontId="1" fillId="0" borderId="0" xfId="0" applyNumberFormat="1" applyFont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172" fontId="1" fillId="3" borderId="2" xfId="0" applyNumberFormat="1" applyFont="1" applyFill="1" applyBorder="1" applyAlignment="1" applyProtection="1">
      <alignment horizontal="center" vertical="center"/>
      <protection locked="0"/>
    </xf>
    <xf numFmtId="178" fontId="1" fillId="3" borderId="0" xfId="3" applyNumberFormat="1" applyFont="1" applyFill="1" applyBorder="1" applyAlignment="1" applyProtection="1">
      <alignment horizontal="left" vertical="center"/>
      <protection locked="0"/>
    </xf>
    <xf numFmtId="179" fontId="1" fillId="3" borderId="0" xfId="3" applyNumberFormat="1" applyFont="1" applyFill="1" applyBorder="1" applyAlignment="1" applyProtection="1">
      <alignment horizontal="left" vertical="center"/>
      <protection locked="0"/>
    </xf>
    <xf numFmtId="17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</xf>
    <xf numFmtId="0" fontId="5" fillId="0" borderId="34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35" xfId="0" applyFont="1" applyBorder="1" applyAlignment="1" applyProtection="1">
      <alignment horizontal="center"/>
    </xf>
    <xf numFmtId="173" fontId="5" fillId="0" borderId="34" xfId="0" applyNumberFormat="1" applyFont="1" applyBorder="1" applyAlignment="1" applyProtection="1">
      <alignment horizontal="left" vertical="center"/>
    </xf>
    <xf numFmtId="172" fontId="1" fillId="0" borderId="0" xfId="0" applyNumberFormat="1" applyFont="1" applyBorder="1" applyAlignment="1" applyProtection="1">
      <alignment horizontal="left" vertical="center"/>
    </xf>
    <xf numFmtId="172" fontId="1" fillId="3" borderId="14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184" fontId="1" fillId="0" borderId="29" xfId="0" applyNumberFormat="1" applyFont="1" applyBorder="1" applyAlignment="1" applyProtection="1">
      <alignment horizontal="center" vertical="center"/>
    </xf>
    <xf numFmtId="184" fontId="1" fillId="0" borderId="30" xfId="0" applyNumberFormat="1" applyFont="1" applyBorder="1" applyAlignment="1" applyProtection="1">
      <alignment horizontal="center" vertical="center"/>
    </xf>
    <xf numFmtId="184" fontId="1" fillId="0" borderId="32" xfId="0" applyNumberFormat="1" applyFont="1" applyBorder="1" applyAlignment="1" applyProtection="1">
      <alignment horizontal="center" vertical="center"/>
    </xf>
    <xf numFmtId="184" fontId="1" fillId="0" borderId="33" xfId="0" applyNumberFormat="1" applyFont="1" applyBorder="1" applyAlignment="1" applyProtection="1">
      <alignment horizontal="center" vertical="center"/>
    </xf>
    <xf numFmtId="180" fontId="5" fillId="3" borderId="0" xfId="3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</xf>
    <xf numFmtId="175" fontId="5" fillId="0" borderId="0" xfId="0" applyNumberFormat="1" applyFont="1" applyBorder="1" applyAlignment="1" applyProtection="1">
      <alignment horizontal="center" vertical="center"/>
    </xf>
    <xf numFmtId="174" fontId="5" fillId="0" borderId="0" xfId="0" applyNumberFormat="1" applyFont="1" applyBorder="1" applyAlignment="1" applyProtection="1">
      <alignment horizontal="center" vertical="center"/>
    </xf>
    <xf numFmtId="183" fontId="5" fillId="0" borderId="14" xfId="0" applyNumberFormat="1" applyFont="1" applyBorder="1" applyAlignment="1" applyProtection="1">
      <alignment horizontal="center" vertical="center"/>
    </xf>
    <xf numFmtId="167" fontId="1" fillId="0" borderId="21" xfId="0" applyNumberFormat="1" applyFont="1" applyBorder="1" applyAlignment="1" applyProtection="1">
      <alignment horizontal="right" vertical="center"/>
    </xf>
    <xf numFmtId="167" fontId="5" fillId="2" borderId="18" xfId="0" applyNumberFormat="1" applyFont="1" applyFill="1" applyBorder="1" applyAlignment="1" applyProtection="1">
      <alignment horizontal="center" vertical="center"/>
    </xf>
    <xf numFmtId="167" fontId="5" fillId="2" borderId="2" xfId="0" applyNumberFormat="1" applyFont="1" applyFill="1" applyBorder="1" applyAlignment="1" applyProtection="1">
      <alignment horizontal="center" vertical="center"/>
    </xf>
    <xf numFmtId="167" fontId="5" fillId="2" borderId="19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center" vertical="center"/>
    </xf>
    <xf numFmtId="176" fontId="1" fillId="0" borderId="0" xfId="0" applyNumberFormat="1" applyFont="1" applyBorder="1" applyAlignment="1" applyProtection="1">
      <alignment horizontal="center" vertical="center"/>
    </xf>
    <xf numFmtId="9" fontId="1" fillId="3" borderId="0" xfId="0" applyNumberFormat="1" applyFont="1" applyFill="1" applyBorder="1" applyAlignment="1" applyProtection="1">
      <alignment horizontal="center" vertical="center"/>
      <protection locked="0"/>
    </xf>
    <xf numFmtId="176" fontId="1" fillId="3" borderId="0" xfId="0" applyNumberFormat="1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Border="1" applyAlignment="1" applyProtection="1">
      <alignment horizontal="center" vertical="center"/>
    </xf>
    <xf numFmtId="172" fontId="1" fillId="3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center"/>
    </xf>
    <xf numFmtId="177" fontId="1" fillId="0" borderId="0" xfId="0" applyNumberFormat="1" applyFont="1" applyBorder="1" applyAlignment="1" applyProtection="1">
      <alignment horizontal="center" vertical="center"/>
    </xf>
    <xf numFmtId="169" fontId="1" fillId="0" borderId="14" xfId="0" applyNumberFormat="1" applyFont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  <protection locked="0"/>
    </xf>
    <xf numFmtId="170" fontId="1" fillId="0" borderId="20" xfId="0" applyNumberFormat="1" applyFont="1" applyBorder="1" applyAlignment="1" applyProtection="1">
      <alignment horizontal="center" vertical="center"/>
    </xf>
    <xf numFmtId="170" fontId="1" fillId="0" borderId="0" xfId="0" applyNumberFormat="1" applyFont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center"/>
    </xf>
    <xf numFmtId="176" fontId="1" fillId="0" borderId="13" xfId="0" applyNumberFormat="1" applyFont="1" applyBorder="1" applyAlignment="1" applyProtection="1">
      <alignment horizontal="center" vertical="center"/>
    </xf>
    <xf numFmtId="176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/>
    </xf>
    <xf numFmtId="182" fontId="1" fillId="3" borderId="0" xfId="0" applyNumberFormat="1" applyFont="1" applyFill="1" applyBorder="1" applyAlignment="1" applyProtection="1">
      <alignment horizontal="center" vertical="center"/>
      <protection locked="0"/>
    </xf>
    <xf numFmtId="1" fontId="1" fillId="3" borderId="20" xfId="0" applyNumberFormat="1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/>
    </xf>
    <xf numFmtId="176" fontId="1" fillId="0" borderId="14" xfId="0" applyNumberFormat="1" applyFont="1" applyBorder="1" applyAlignment="1" applyProtection="1">
      <alignment horizontal="center" vertical="center"/>
    </xf>
    <xf numFmtId="170" fontId="1" fillId="0" borderId="20" xfId="0" applyNumberFormat="1" applyFont="1" applyBorder="1" applyAlignment="1" applyProtection="1">
      <alignment horizontal="right" vertical="center"/>
    </xf>
    <xf numFmtId="170" fontId="1" fillId="0" borderId="0" xfId="0" applyNumberFormat="1" applyFont="1" applyBorder="1" applyAlignment="1" applyProtection="1">
      <alignment horizontal="right" vertical="center"/>
    </xf>
    <xf numFmtId="170" fontId="1" fillId="0" borderId="36" xfId="0" applyNumberFormat="1" applyFont="1" applyBorder="1" applyAlignment="1" applyProtection="1">
      <alignment horizontal="center" vertical="center"/>
    </xf>
    <xf numFmtId="170" fontId="1" fillId="0" borderId="9" xfId="0" applyNumberFormat="1" applyFont="1" applyBorder="1" applyAlignment="1" applyProtection="1">
      <alignment horizontal="center" vertical="center"/>
    </xf>
    <xf numFmtId="170" fontId="1" fillId="0" borderId="0" xfId="0" applyNumberFormat="1" applyFont="1" applyAlignment="1" applyProtection="1">
      <alignment horizontal="right" vertical="center"/>
    </xf>
    <xf numFmtId="2" fontId="1" fillId="0" borderId="20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</cellXfs>
  <cellStyles count="4">
    <cellStyle name="Header1" xfId="1"/>
    <cellStyle name="Header2" xfId="2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showGridLines="0" showRowColHeaders="0" showZeros="0" showOutlineSymbols="0" topLeftCell="B21572" zoomScaleNormal="83" zoomScaleSheetLayoutView="70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showGridLines="0" showRowColHeaders="0" showZeros="0" showOutlineSymbols="0" topLeftCell="B19283" zoomScaleNormal="80"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/>
  <dimension ref="A1:V115"/>
  <sheetViews>
    <sheetView showGridLines="0" tabSelected="1" zoomScaleNormal="100" zoomScaleSheetLayoutView="100" workbookViewId="0">
      <selection activeCell="J30" sqref="J30"/>
    </sheetView>
  </sheetViews>
  <sheetFormatPr defaultColWidth="9.7109375" defaultRowHeight="12.75" customHeight="1" x14ac:dyDescent="0.2"/>
  <cols>
    <col min="1" max="1" width="11.85546875" style="7" customWidth="1"/>
    <col min="2" max="2" width="9.85546875" style="7" customWidth="1"/>
    <col min="3" max="3" width="12.7109375" style="7" customWidth="1"/>
    <col min="4" max="4" width="2.7109375" style="7" customWidth="1"/>
    <col min="5" max="5" width="7.7109375" style="7" customWidth="1"/>
    <col min="6" max="6" width="10.7109375" style="7" customWidth="1"/>
    <col min="7" max="8" width="1.7109375" style="7" customWidth="1"/>
    <col min="9" max="9" width="12.7109375" style="7" customWidth="1"/>
    <col min="10" max="10" width="10.7109375" style="7" customWidth="1"/>
    <col min="11" max="11" width="2.7109375" style="7" customWidth="1"/>
    <col min="12" max="12" width="5.7109375" style="7" customWidth="1"/>
    <col min="13" max="13" width="2.28515625" style="7" customWidth="1"/>
    <col min="14" max="14" width="10.7109375" style="7" customWidth="1"/>
    <col min="15" max="15" width="9.7109375" style="7"/>
    <col min="16" max="16" width="9.28515625" style="7" hidden="1" customWidth="1"/>
    <col min="17" max="17" width="0" style="7" hidden="1" customWidth="1"/>
    <col min="18" max="18" width="6.140625" style="7" hidden="1" customWidth="1"/>
    <col min="19" max="20" width="0" style="7" hidden="1" customWidth="1"/>
    <col min="21" max="22" width="6.140625" style="7" hidden="1" customWidth="1"/>
    <col min="23" max="16384" width="9.7109375" style="7"/>
  </cols>
  <sheetData>
    <row r="1" spans="1:22" ht="21" thickBot="1" x14ac:dyDescent="0.25">
      <c r="A1" s="112" t="s">
        <v>103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22" ht="13.7" customHeight="1" x14ac:dyDescent="0.2">
      <c r="A2" s="7" t="s">
        <v>1</v>
      </c>
      <c r="B2" s="121"/>
      <c r="C2" s="121"/>
      <c r="D2" s="121"/>
      <c r="E2" s="121"/>
      <c r="F2" s="121"/>
      <c r="G2" s="121"/>
      <c r="H2" s="121"/>
      <c r="I2" s="121"/>
      <c r="J2" s="19" t="s">
        <v>11</v>
      </c>
      <c r="K2" s="117">
        <f ca="1">NOW()</f>
        <v>42240.498024305554</v>
      </c>
      <c r="L2" s="117"/>
      <c r="M2" s="117"/>
      <c r="N2" s="117"/>
      <c r="P2" s="102" t="s">
        <v>7</v>
      </c>
      <c r="Q2" s="103"/>
      <c r="R2" s="103"/>
      <c r="S2" s="103"/>
      <c r="T2" s="103"/>
      <c r="U2" s="103"/>
      <c r="V2" s="104"/>
    </row>
    <row r="3" spans="1:22" ht="13.7" customHeight="1" x14ac:dyDescent="0.2">
      <c r="A3" s="7" t="s">
        <v>2</v>
      </c>
      <c r="B3" s="118"/>
      <c r="C3" s="118"/>
      <c r="D3" s="118"/>
      <c r="E3" s="118"/>
      <c r="F3" s="118"/>
      <c r="G3" s="118"/>
      <c r="H3" s="118"/>
      <c r="I3" s="118"/>
      <c r="J3" s="20" t="s">
        <v>12</v>
      </c>
      <c r="K3" s="118"/>
      <c r="L3" s="118"/>
      <c r="M3" s="118"/>
      <c r="N3" s="118"/>
      <c r="P3" s="1" t="s">
        <v>14</v>
      </c>
      <c r="Q3" s="1"/>
      <c r="R3" s="2">
        <f>(C42)</f>
        <v>55</v>
      </c>
      <c r="S3" s="101" t="s">
        <v>22</v>
      </c>
      <c r="T3" s="101"/>
      <c r="U3" s="2">
        <f>R3-0.5</f>
        <v>54.5</v>
      </c>
      <c r="V3" s="2"/>
    </row>
    <row r="4" spans="1:22" ht="13.7" customHeight="1" x14ac:dyDescent="0.2">
      <c r="A4" s="84" t="s">
        <v>34</v>
      </c>
      <c r="B4" s="84"/>
      <c r="C4" s="84"/>
      <c r="E4" s="72" t="s">
        <v>31</v>
      </c>
      <c r="F4" s="72"/>
      <c r="G4" s="21"/>
      <c r="H4" s="21"/>
      <c r="I4" s="21"/>
      <c r="J4" s="21"/>
      <c r="K4" s="21"/>
      <c r="L4" s="21"/>
      <c r="M4" s="21"/>
      <c r="N4" s="21"/>
      <c r="P4" s="1" t="s">
        <v>15</v>
      </c>
      <c r="Q4" s="1"/>
      <c r="R4" s="3">
        <f>((R3-32)*5/9)+273.16</f>
        <v>285.9377777777778</v>
      </c>
      <c r="S4" s="101" t="s">
        <v>15</v>
      </c>
      <c r="T4" s="101"/>
      <c r="U4" s="3">
        <f>((U3-32)*5/9)+273.16</f>
        <v>285.66000000000003</v>
      </c>
      <c r="V4" s="54"/>
    </row>
    <row r="5" spans="1:22" ht="13.7" customHeight="1" x14ac:dyDescent="0.2">
      <c r="A5" s="68" t="s">
        <v>45</v>
      </c>
      <c r="B5" s="68"/>
      <c r="C5" s="68"/>
      <c r="D5" s="22" t="s">
        <v>10</v>
      </c>
      <c r="E5" s="124">
        <v>60000</v>
      </c>
      <c r="F5" s="124"/>
      <c r="G5" s="21"/>
      <c r="H5" s="21"/>
      <c r="I5" s="21"/>
      <c r="J5" s="21"/>
      <c r="K5" s="21"/>
      <c r="L5" s="21"/>
      <c r="M5" s="21"/>
      <c r="N5" s="21"/>
      <c r="P5" s="1" t="s">
        <v>16</v>
      </c>
      <c r="Q5" s="1"/>
      <c r="R5" s="4">
        <f>(1/(R4/273.16))</f>
        <v>0.95531273315095744</v>
      </c>
      <c r="S5" s="101" t="s">
        <v>16</v>
      </c>
      <c r="T5" s="101"/>
      <c r="U5" s="4">
        <f>(1/(U4/273.16))</f>
        <v>0.95624168592032477</v>
      </c>
      <c r="V5" s="5">
        <f>(2830-1.44*U3)</f>
        <v>2751.52</v>
      </c>
    </row>
    <row r="6" spans="1:22" ht="13.7" customHeight="1" x14ac:dyDescent="0.2">
      <c r="A6" s="68" t="s">
        <v>46</v>
      </c>
      <c r="B6" s="68"/>
      <c r="C6" s="68"/>
      <c r="D6" s="22" t="s">
        <v>10</v>
      </c>
      <c r="E6" s="109">
        <v>0</v>
      </c>
      <c r="F6" s="109"/>
      <c r="G6" s="21"/>
      <c r="H6" s="21"/>
      <c r="I6" s="21"/>
      <c r="J6" s="21"/>
      <c r="K6" s="21"/>
      <c r="L6" s="21"/>
      <c r="M6" s="21"/>
      <c r="N6" s="21"/>
      <c r="P6" s="1" t="s">
        <v>17</v>
      </c>
      <c r="Q6" s="1"/>
      <c r="R6" s="4">
        <f>((R5-1)*-1)</f>
        <v>4.4687266849042562E-2</v>
      </c>
      <c r="S6" s="101" t="s">
        <v>17</v>
      </c>
      <c r="T6" s="101"/>
      <c r="U6" s="4">
        <f>((U5-1)*-1)</f>
        <v>4.3758314079675231E-2</v>
      </c>
      <c r="V6" s="54"/>
    </row>
    <row r="7" spans="1:22" ht="13.7" customHeight="1" x14ac:dyDescent="0.2">
      <c r="A7" s="68" t="s">
        <v>35</v>
      </c>
      <c r="B7" s="68"/>
      <c r="C7" s="68"/>
      <c r="D7" s="22" t="s">
        <v>10</v>
      </c>
      <c r="E7" s="108">
        <v>1</v>
      </c>
      <c r="F7" s="108"/>
      <c r="G7" s="21"/>
      <c r="H7" s="21"/>
      <c r="I7" s="21"/>
      <c r="J7" s="21"/>
      <c r="K7" s="21"/>
      <c r="L7" s="21"/>
      <c r="M7" s="21"/>
      <c r="N7" s="21"/>
      <c r="P7" s="1" t="s">
        <v>18</v>
      </c>
      <c r="Q7" s="1"/>
      <c r="R7" s="4">
        <f>((1/R5)-1)</f>
        <v>4.6777631343453585E-2</v>
      </c>
      <c r="S7" s="101" t="s">
        <v>18</v>
      </c>
      <c r="T7" s="101"/>
      <c r="U7" s="4">
        <f>((1/U5)-1)</f>
        <v>4.5760726314248101E-2</v>
      </c>
      <c r="V7" s="54"/>
    </row>
    <row r="8" spans="1:22" ht="13.7" customHeight="1" thickBot="1" x14ac:dyDescent="0.25">
      <c r="A8" s="115" t="s">
        <v>36</v>
      </c>
      <c r="B8" s="115"/>
      <c r="C8" s="115"/>
      <c r="D8" s="22" t="s">
        <v>10</v>
      </c>
      <c r="E8" s="123">
        <f>E6*E7</f>
        <v>0</v>
      </c>
      <c r="F8" s="123"/>
      <c r="G8" s="21"/>
      <c r="H8" s="21"/>
      <c r="I8" s="21"/>
      <c r="J8" s="21"/>
      <c r="K8" s="21"/>
      <c r="L8" s="21"/>
      <c r="M8" s="21"/>
      <c r="N8" s="21"/>
      <c r="P8" s="1" t="s">
        <v>19</v>
      </c>
      <c r="Q8" s="1"/>
      <c r="R8" s="4">
        <f>(10.79586*R6)</f>
        <v>0.48243747668490461</v>
      </c>
      <c r="S8" s="101" t="s">
        <v>19</v>
      </c>
      <c r="T8" s="101"/>
      <c r="U8" s="4">
        <f>(10.79586*U6)</f>
        <v>0.47240863264020261</v>
      </c>
      <c r="V8" s="54"/>
    </row>
    <row r="9" spans="1:22" ht="13.7" customHeight="1" thickBot="1" x14ac:dyDescent="0.25">
      <c r="A9" s="122" t="s">
        <v>13</v>
      </c>
      <c r="B9" s="122"/>
      <c r="C9" s="122"/>
      <c r="D9" s="122"/>
      <c r="E9" s="122"/>
      <c r="F9" s="122"/>
      <c r="G9" s="23"/>
      <c r="H9" s="24"/>
      <c r="I9" s="122" t="s">
        <v>3</v>
      </c>
      <c r="J9" s="122"/>
      <c r="K9" s="122"/>
      <c r="L9" s="122"/>
      <c r="M9" s="122"/>
      <c r="N9" s="122"/>
      <c r="P9" s="1" t="s">
        <v>20</v>
      </c>
      <c r="Q9" s="1"/>
      <c r="R9" s="4">
        <f>10^(R8+(((LOG(R5))*(1/LOG(10)))*5.02808)+((1+(-1*(10^(-8.29692*R7))))*0.000150474)+(((10^(4.76955*R6))-1)*0.00042873)-1.05235)</f>
        <v>0.21410082158460275</v>
      </c>
      <c r="S9" s="101" t="s">
        <v>20</v>
      </c>
      <c r="T9" s="101"/>
      <c r="U9" s="4">
        <f>10^(U8+(((LOG(U5))*(1/LOG(10)))*5.02808)+((1+(-1*(10^(-8.29692*U7))))*0.000150474)+(((10^(4.76955*U6))-1)*0.00042873)-1.05235)</f>
        <v>0.21023429115466549</v>
      </c>
      <c r="V9" s="54"/>
    </row>
    <row r="10" spans="1:22" ht="13.7" customHeight="1" x14ac:dyDescent="0.2">
      <c r="A10" s="68" t="s">
        <v>45</v>
      </c>
      <c r="B10" s="68"/>
      <c r="C10" s="68"/>
      <c r="D10" s="22" t="s">
        <v>10</v>
      </c>
      <c r="E10" s="131">
        <f>E5</f>
        <v>60000</v>
      </c>
      <c r="F10" s="131"/>
      <c r="G10" s="25"/>
      <c r="H10" s="26"/>
      <c r="I10" s="130" t="s">
        <v>69</v>
      </c>
      <c r="J10" s="130"/>
      <c r="K10" s="130"/>
      <c r="L10" s="130"/>
      <c r="M10" s="130"/>
      <c r="N10" s="130"/>
      <c r="P10" s="1" t="s">
        <v>21</v>
      </c>
      <c r="Q10" s="1"/>
      <c r="R10" s="4">
        <f>1*R9</f>
        <v>0.21410082158460275</v>
      </c>
      <c r="S10" s="101" t="s">
        <v>23</v>
      </c>
      <c r="T10" s="101"/>
      <c r="U10" s="4">
        <f>1*U9</f>
        <v>0.21023429115466549</v>
      </c>
      <c r="V10" s="54"/>
    </row>
    <row r="11" spans="1:22" ht="13.7" customHeight="1" x14ac:dyDescent="0.2">
      <c r="A11" s="68" t="s">
        <v>46</v>
      </c>
      <c r="B11" s="68"/>
      <c r="C11" s="68"/>
      <c r="D11" s="22" t="s">
        <v>10</v>
      </c>
      <c r="E11" s="71">
        <f>E8</f>
        <v>0</v>
      </c>
      <c r="F11" s="71"/>
      <c r="G11" s="25"/>
      <c r="H11" s="27"/>
      <c r="I11" s="28" t="s">
        <v>70</v>
      </c>
      <c r="J11" s="28"/>
      <c r="K11" s="63"/>
      <c r="L11" s="134">
        <v>0.25</v>
      </c>
      <c r="M11" s="135"/>
      <c r="N11" s="29">
        <f>IF(K11&gt;0,(L11*K11),0)</f>
        <v>0</v>
      </c>
      <c r="P11" s="6" t="s">
        <v>0</v>
      </c>
      <c r="Q11" s="6"/>
      <c r="R11" s="6"/>
      <c r="S11" s="101" t="s">
        <v>24</v>
      </c>
      <c r="T11" s="101"/>
      <c r="U11" s="4">
        <f>(U10-((14.7-U10)*(R3-U3))/(V5))</f>
        <v>0.20760124365567487</v>
      </c>
      <c r="V11" s="54"/>
    </row>
    <row r="12" spans="1:22" ht="13.7" customHeight="1" x14ac:dyDescent="0.2">
      <c r="A12" s="68" t="s">
        <v>47</v>
      </c>
      <c r="B12" s="68"/>
      <c r="C12" s="68"/>
      <c r="D12" s="22" t="s">
        <v>10</v>
      </c>
      <c r="E12" s="70">
        <f>SUM(E10:E10)</f>
        <v>60000</v>
      </c>
      <c r="F12" s="70"/>
      <c r="G12" s="30"/>
      <c r="H12" s="27"/>
      <c r="I12" s="7" t="s">
        <v>71</v>
      </c>
      <c r="K12" s="64"/>
      <c r="L12" s="119">
        <v>1</v>
      </c>
      <c r="M12" s="120"/>
      <c r="N12" s="31">
        <f>IF(K12&gt;0,(L12*K12),0)</f>
        <v>0</v>
      </c>
      <c r="P12" s="6" t="s">
        <v>0</v>
      </c>
      <c r="Q12" s="6"/>
      <c r="R12" s="6"/>
      <c r="S12" s="101" t="s">
        <v>25</v>
      </c>
      <c r="T12" s="101"/>
      <c r="U12" s="2">
        <f>100*(U11/R10)</f>
        <v>96.964244284153963</v>
      </c>
      <c r="V12" s="54"/>
    </row>
    <row r="13" spans="1:22" ht="13.7" customHeight="1" x14ac:dyDescent="0.2">
      <c r="A13" s="73" t="s">
        <v>48</v>
      </c>
      <c r="B13" s="73"/>
      <c r="C13" s="73"/>
      <c r="D13" s="32" t="s">
        <v>10</v>
      </c>
      <c r="E13" s="69">
        <f>CEILING(E12,5)</f>
        <v>60000</v>
      </c>
      <c r="F13" s="69"/>
      <c r="G13" s="25"/>
      <c r="H13" s="27"/>
      <c r="I13" s="7" t="s">
        <v>72</v>
      </c>
      <c r="K13" s="33"/>
      <c r="L13" s="127">
        <v>0</v>
      </c>
      <c r="M13" s="127"/>
      <c r="N13" s="31">
        <f>IF(L13&gt;0,(L13*(0.25/100)),0)</f>
        <v>0</v>
      </c>
      <c r="P13" s="6"/>
      <c r="Q13" s="6"/>
      <c r="R13" s="6"/>
      <c r="S13" s="101" t="s">
        <v>26</v>
      </c>
      <c r="T13" s="101"/>
      <c r="U13" s="4">
        <f>(U11/(14.7-U11))*0.62189</f>
        <v>8.9084726129626691E-3</v>
      </c>
      <c r="V13" s="54"/>
    </row>
    <row r="14" spans="1:22" ht="13.7" customHeight="1" x14ac:dyDescent="0.2">
      <c r="A14" s="74">
        <v>500</v>
      </c>
      <c r="B14" s="74"/>
      <c r="C14" s="74"/>
      <c r="D14" s="22" t="s">
        <v>10</v>
      </c>
      <c r="E14" s="116">
        <f>E13/A14</f>
        <v>120</v>
      </c>
      <c r="F14" s="116"/>
      <c r="G14" s="25"/>
      <c r="H14" s="27"/>
      <c r="I14" s="7" t="s">
        <v>73</v>
      </c>
      <c r="K14" s="64"/>
      <c r="L14" s="119">
        <v>0.75</v>
      </c>
      <c r="M14" s="120"/>
      <c r="N14" s="31">
        <f>IF(K14&gt;0,(L14*K14),0)</f>
        <v>0</v>
      </c>
      <c r="P14" s="6"/>
      <c r="Q14" s="6"/>
      <c r="R14" s="6"/>
      <c r="S14" s="101" t="s">
        <v>27</v>
      </c>
      <c r="T14" s="101"/>
      <c r="U14" s="2">
        <f>7000*U13</f>
        <v>62.359308290738682</v>
      </c>
      <c r="V14" s="54"/>
    </row>
    <row r="15" spans="1:22" ht="13.7" customHeight="1" x14ac:dyDescent="0.2">
      <c r="A15" s="68"/>
      <c r="B15" s="68"/>
      <c r="C15" s="68"/>
      <c r="D15" s="27"/>
      <c r="E15" s="75"/>
      <c r="F15" s="75"/>
      <c r="G15" s="25"/>
      <c r="H15" s="27"/>
      <c r="I15" s="7" t="s">
        <v>74</v>
      </c>
      <c r="K15" s="64"/>
      <c r="L15" s="119">
        <v>0.25</v>
      </c>
      <c r="M15" s="120"/>
      <c r="N15" s="31">
        <f>IF(K15&gt;0,(L15*K15),0)</f>
        <v>0</v>
      </c>
      <c r="P15" s="6"/>
      <c r="Q15" s="6"/>
      <c r="R15" s="6"/>
      <c r="S15" s="101" t="s">
        <v>28</v>
      </c>
      <c r="T15" s="101"/>
      <c r="U15" s="2">
        <f>((R3+460)*0.3705)/14.7</f>
        <v>12.980102040816327</v>
      </c>
      <c r="V15" s="54"/>
    </row>
    <row r="16" spans="1:22" ht="13.7" customHeight="1" x14ac:dyDescent="0.2">
      <c r="A16" s="68" t="s">
        <v>49</v>
      </c>
      <c r="B16" s="68"/>
      <c r="C16" s="68"/>
      <c r="D16" s="22" t="s">
        <v>10</v>
      </c>
      <c r="E16" s="109">
        <v>10800</v>
      </c>
      <c r="F16" s="109"/>
      <c r="G16" s="25"/>
      <c r="H16" s="27"/>
      <c r="I16" s="7" t="s">
        <v>75</v>
      </c>
      <c r="K16" s="33"/>
      <c r="L16" s="127">
        <v>200</v>
      </c>
      <c r="M16" s="127"/>
      <c r="N16" s="31">
        <f>IF(L16&gt;0,(L16*(0.08/100)),0)</f>
        <v>0.16</v>
      </c>
      <c r="P16" s="6"/>
      <c r="Q16" s="6"/>
      <c r="R16" s="6"/>
      <c r="S16" s="101" t="s">
        <v>29</v>
      </c>
      <c r="T16" s="101"/>
      <c r="U16" s="2">
        <f>(((((U15*14.7/(14.7-R10))-U15)*U13)/0.62189/R10*(14.7-R10))+U15)</f>
        <v>13.166039881180497</v>
      </c>
      <c r="V16" s="54"/>
    </row>
    <row r="17" spans="1:22" ht="13.7" customHeight="1" x14ac:dyDescent="0.2">
      <c r="A17" s="68"/>
      <c r="B17" s="68"/>
      <c r="C17" s="68"/>
      <c r="D17" s="27"/>
      <c r="E17" s="75"/>
      <c r="F17" s="75"/>
      <c r="G17" s="25"/>
      <c r="H17" s="27"/>
      <c r="I17" s="7" t="s">
        <v>76</v>
      </c>
      <c r="K17" s="64"/>
      <c r="L17" s="119">
        <v>0.1</v>
      </c>
      <c r="M17" s="120"/>
      <c r="N17" s="31">
        <f>IF(K17&gt;0,(L17*K17),0)</f>
        <v>0</v>
      </c>
      <c r="P17" s="6"/>
      <c r="Q17" s="6"/>
      <c r="R17" s="6"/>
      <c r="S17" s="101" t="s">
        <v>30</v>
      </c>
      <c r="T17" s="101"/>
      <c r="U17" s="2">
        <f>(0.24*R3)+(U13*(1061.2+(0.444*R3)))</f>
        <v>22.871216038084533</v>
      </c>
      <c r="V17" s="54"/>
    </row>
    <row r="18" spans="1:22" ht="13.7" customHeight="1" x14ac:dyDescent="0.2">
      <c r="A18" s="68" t="s">
        <v>50</v>
      </c>
      <c r="B18" s="68"/>
      <c r="C18" s="68"/>
      <c r="D18" s="22" t="s">
        <v>10</v>
      </c>
      <c r="E18" s="108">
        <v>0.2</v>
      </c>
      <c r="F18" s="108"/>
      <c r="G18" s="25"/>
      <c r="H18" s="27"/>
      <c r="I18" s="7" t="s">
        <v>77</v>
      </c>
      <c r="K18" s="64"/>
      <c r="L18" s="119">
        <v>0.1</v>
      </c>
      <c r="M18" s="120"/>
      <c r="N18" s="31">
        <f>IF(K18&gt;0,(L18*K18),0)</f>
        <v>0</v>
      </c>
    </row>
    <row r="19" spans="1:22" ht="13.7" customHeight="1" x14ac:dyDescent="0.2">
      <c r="A19" s="68"/>
      <c r="B19" s="68"/>
      <c r="C19" s="68"/>
      <c r="D19" s="27"/>
      <c r="E19" s="75"/>
      <c r="F19" s="75"/>
      <c r="G19" s="25"/>
      <c r="H19" s="27"/>
      <c r="I19" s="7" t="s">
        <v>78</v>
      </c>
      <c r="K19" s="64"/>
      <c r="L19" s="119">
        <v>0.1</v>
      </c>
      <c r="M19" s="120"/>
      <c r="N19" s="31">
        <f>IF(K19&gt;0,(L19*K19),0)</f>
        <v>0</v>
      </c>
      <c r="P19" s="102" t="s">
        <v>8</v>
      </c>
      <c r="Q19" s="103"/>
      <c r="R19" s="103"/>
      <c r="S19" s="103"/>
      <c r="T19" s="103"/>
      <c r="U19" s="103"/>
      <c r="V19" s="104"/>
    </row>
    <row r="20" spans="1:22" ht="13.7" customHeight="1" x14ac:dyDescent="0.2">
      <c r="A20" s="68" t="s">
        <v>51</v>
      </c>
      <c r="B20" s="68"/>
      <c r="C20" s="68"/>
      <c r="D20" s="22" t="s">
        <v>10</v>
      </c>
      <c r="E20" s="107">
        <f>(E13*E18)</f>
        <v>12000</v>
      </c>
      <c r="F20" s="107"/>
      <c r="G20" s="25"/>
      <c r="H20" s="27"/>
      <c r="I20" s="7" t="s">
        <v>79</v>
      </c>
      <c r="K20" s="33"/>
      <c r="L20" s="127">
        <v>200</v>
      </c>
      <c r="M20" s="127"/>
      <c r="N20" s="31">
        <f>IF(L20&gt;0,(L20*(0.08/100)),0)</f>
        <v>0.16</v>
      </c>
      <c r="P20" s="1" t="s">
        <v>14</v>
      </c>
      <c r="Q20" s="1"/>
      <c r="R20" s="3">
        <f>(C28)</f>
        <v>98</v>
      </c>
      <c r="S20" s="101" t="s">
        <v>22</v>
      </c>
      <c r="T20" s="101"/>
      <c r="U20" s="2">
        <f>(E28)</f>
        <v>74</v>
      </c>
      <c r="V20" s="54"/>
    </row>
    <row r="21" spans="1:22" ht="13.7" customHeight="1" x14ac:dyDescent="0.2">
      <c r="A21" s="73" t="s">
        <v>52</v>
      </c>
      <c r="B21" s="73"/>
      <c r="C21" s="73"/>
      <c r="D21" s="32" t="s">
        <v>10</v>
      </c>
      <c r="E21" s="69">
        <f>CEILING(E20,5)</f>
        <v>12000</v>
      </c>
      <c r="F21" s="69"/>
      <c r="G21" s="30"/>
      <c r="H21" s="27"/>
      <c r="I21" s="7" t="s">
        <v>80</v>
      </c>
      <c r="K21" s="64"/>
      <c r="L21" s="119">
        <v>0.25</v>
      </c>
      <c r="M21" s="120"/>
      <c r="N21" s="31">
        <f t="shared" ref="N21:N27" si="0">IF(K21&gt;0,(L21*K21),0)</f>
        <v>0</v>
      </c>
      <c r="P21" s="1" t="s">
        <v>15</v>
      </c>
      <c r="Q21" s="1"/>
      <c r="R21" s="3">
        <f>((R20-32)*5/9)+273.16</f>
        <v>309.82666666666671</v>
      </c>
      <c r="S21" s="101" t="s">
        <v>15</v>
      </c>
      <c r="T21" s="101"/>
      <c r="U21" s="2">
        <f>((U20-32)*5/9)+273.16</f>
        <v>296.49333333333334</v>
      </c>
      <c r="V21" s="54"/>
    </row>
    <row r="22" spans="1:22" ht="13.7" customHeight="1" x14ac:dyDescent="0.2">
      <c r="A22" s="68"/>
      <c r="B22" s="68"/>
      <c r="C22" s="68"/>
      <c r="D22" s="27"/>
      <c r="E22" s="75"/>
      <c r="F22" s="75"/>
      <c r="G22" s="25"/>
      <c r="H22" s="27"/>
      <c r="I22" s="7" t="s">
        <v>81</v>
      </c>
      <c r="K22" s="64"/>
      <c r="L22" s="119">
        <v>0.6</v>
      </c>
      <c r="M22" s="120"/>
      <c r="N22" s="31">
        <f t="shared" si="0"/>
        <v>0</v>
      </c>
      <c r="P22" s="1" t="s">
        <v>16</v>
      </c>
      <c r="Q22" s="1"/>
      <c r="R22" s="4">
        <f>(1/(R21/273.16))</f>
        <v>0.88165425829496058</v>
      </c>
      <c r="S22" s="101" t="s">
        <v>16</v>
      </c>
      <c r="T22" s="101"/>
      <c r="U22" s="4">
        <f>(1/(U21/273.16))</f>
        <v>0.9213023339479246</v>
      </c>
      <c r="V22" s="5">
        <f>(2830-1.44*U20)</f>
        <v>2723.44</v>
      </c>
    </row>
    <row r="23" spans="1:22" ht="13.7" customHeight="1" x14ac:dyDescent="0.2">
      <c r="A23" s="68" t="s">
        <v>53</v>
      </c>
      <c r="B23" s="68"/>
      <c r="C23" s="68"/>
      <c r="D23" s="22" t="s">
        <v>10</v>
      </c>
      <c r="E23" s="110">
        <f>((E21-E16)/E21)</f>
        <v>0.1</v>
      </c>
      <c r="F23" s="110"/>
      <c r="G23" s="25"/>
      <c r="H23" s="27"/>
      <c r="I23" s="7" t="s">
        <v>82</v>
      </c>
      <c r="K23" s="64"/>
      <c r="L23" s="119">
        <v>0.2</v>
      </c>
      <c r="M23" s="120"/>
      <c r="N23" s="31">
        <f t="shared" si="0"/>
        <v>0</v>
      </c>
      <c r="P23" s="1" t="s">
        <v>17</v>
      </c>
      <c r="Q23" s="1"/>
      <c r="R23" s="4">
        <f>((R22-1)*-1)</f>
        <v>0.11834574170503942</v>
      </c>
      <c r="S23" s="101" t="s">
        <v>17</v>
      </c>
      <c r="T23" s="101"/>
      <c r="U23" s="4">
        <f>((U22-1)*-1)</f>
        <v>7.8697666052075399E-2</v>
      </c>
      <c r="V23" s="54"/>
    </row>
    <row r="24" spans="1:22" ht="13.7" customHeight="1" x14ac:dyDescent="0.2">
      <c r="A24" s="125" t="s">
        <v>4</v>
      </c>
      <c r="B24" s="125"/>
      <c r="C24" s="125"/>
      <c r="D24" s="34"/>
      <c r="E24" s="91" t="str">
        <f>IF(AND(E23&gt;=0,E23&lt;=0.1),"YES","NO")</f>
        <v>YES</v>
      </c>
      <c r="F24" s="91"/>
      <c r="G24" s="25"/>
      <c r="H24" s="27"/>
      <c r="I24" s="7" t="s">
        <v>83</v>
      </c>
      <c r="K24" s="64"/>
      <c r="L24" s="119">
        <v>0.2</v>
      </c>
      <c r="M24" s="120"/>
      <c r="N24" s="31">
        <f t="shared" si="0"/>
        <v>0</v>
      </c>
      <c r="P24" s="1" t="s">
        <v>18</v>
      </c>
      <c r="Q24" s="1"/>
      <c r="R24" s="4">
        <f>((1/R22)-1)</f>
        <v>0.13423146385512763</v>
      </c>
      <c r="S24" s="101" t="s">
        <v>18</v>
      </c>
      <c r="T24" s="101"/>
      <c r="U24" s="4">
        <f>((1/U22)-1)</f>
        <v>8.5420022453263078E-2</v>
      </c>
      <c r="V24" s="54"/>
    </row>
    <row r="25" spans="1:22" ht="13.7" customHeight="1" x14ac:dyDescent="0.2">
      <c r="A25" s="68" t="s">
        <v>54</v>
      </c>
      <c r="B25" s="68"/>
      <c r="C25" s="68"/>
      <c r="D25" s="22" t="s">
        <v>10</v>
      </c>
      <c r="E25" s="107">
        <f>E13-E21</f>
        <v>48000</v>
      </c>
      <c r="F25" s="107"/>
      <c r="G25" s="25"/>
      <c r="H25" s="27"/>
      <c r="I25" s="7" t="s">
        <v>84</v>
      </c>
      <c r="K25" s="64"/>
      <c r="L25" s="119">
        <v>0.2</v>
      </c>
      <c r="M25" s="120"/>
      <c r="N25" s="31">
        <f t="shared" si="0"/>
        <v>0</v>
      </c>
      <c r="P25" s="1" t="s">
        <v>19</v>
      </c>
      <c r="Q25" s="1"/>
      <c r="R25" s="4">
        <f>(10.79586*R23)</f>
        <v>1.2776440590437668</v>
      </c>
      <c r="S25" s="101" t="s">
        <v>19</v>
      </c>
      <c r="T25" s="101"/>
      <c r="U25" s="4">
        <f>(10.79586*U23)</f>
        <v>0.84960898502495863</v>
      </c>
      <c r="V25" s="54"/>
    </row>
    <row r="26" spans="1:22" ht="13.7" customHeight="1" x14ac:dyDescent="0.2">
      <c r="A26" s="68"/>
      <c r="B26" s="68"/>
      <c r="C26" s="68"/>
      <c r="D26" s="27"/>
      <c r="E26" s="75"/>
      <c r="F26" s="75"/>
      <c r="G26" s="25"/>
      <c r="H26" s="27"/>
      <c r="I26" s="7" t="s">
        <v>85</v>
      </c>
      <c r="K26" s="64"/>
      <c r="L26" s="119">
        <v>0.15</v>
      </c>
      <c r="M26" s="120"/>
      <c r="N26" s="31">
        <f t="shared" si="0"/>
        <v>0</v>
      </c>
      <c r="P26" s="1" t="s">
        <v>20</v>
      </c>
      <c r="Q26" s="1"/>
      <c r="R26" s="4">
        <f>10^(R25+(((LOG(R22))*(1/LOG(10)))*5.02808)+((1+(-1*(10^(-8.29692*R24))))*0.000150474)+(((10^(4.76955*R23))-1)*0.00042873)-1.05235)</f>
        <v>0.89440130372759874</v>
      </c>
      <c r="S26" s="101" t="s">
        <v>20</v>
      </c>
      <c r="T26" s="101"/>
      <c r="U26" s="4">
        <f>10^(U25+(((LOG(U22))*(1/LOG(10)))*5.02808)+((1+(-1*(10^(-8.29692*U24))))*0.000150474)+(((10^(4.76955*U23))-1)*0.00042873)-1.05235)</f>
        <v>0.41589153111572535</v>
      </c>
      <c r="V26" s="54"/>
    </row>
    <row r="27" spans="1:22" ht="13.7" customHeight="1" thickBot="1" x14ac:dyDescent="0.25">
      <c r="A27" s="27"/>
      <c r="B27" s="27"/>
      <c r="C27" s="106" t="s">
        <v>5</v>
      </c>
      <c r="D27" s="106"/>
      <c r="E27" s="106" t="s">
        <v>6</v>
      </c>
      <c r="F27" s="106"/>
      <c r="G27" s="25"/>
      <c r="H27" s="27"/>
      <c r="I27" s="7" t="s">
        <v>86</v>
      </c>
      <c r="K27" s="64"/>
      <c r="L27" s="137">
        <v>0.1</v>
      </c>
      <c r="M27" s="138"/>
      <c r="N27" s="31">
        <f t="shared" si="0"/>
        <v>0</v>
      </c>
      <c r="P27" s="1" t="s">
        <v>21</v>
      </c>
      <c r="Q27" s="1"/>
      <c r="R27" s="4">
        <f>1*R26</f>
        <v>0.89440130372759874</v>
      </c>
      <c r="S27" s="101" t="s">
        <v>23</v>
      </c>
      <c r="T27" s="101"/>
      <c r="U27" s="4">
        <f>1*U26</f>
        <v>0.41589153111572535</v>
      </c>
      <c r="V27" s="54"/>
    </row>
    <row r="28" spans="1:22" ht="13.7" customHeight="1" x14ac:dyDescent="0.2">
      <c r="A28" s="27" t="s">
        <v>43</v>
      </c>
      <c r="B28" s="27"/>
      <c r="C28" s="83">
        <v>98</v>
      </c>
      <c r="D28" s="83"/>
      <c r="E28" s="111">
        <v>74</v>
      </c>
      <c r="F28" s="111"/>
      <c r="G28" s="25"/>
      <c r="H28" s="27"/>
      <c r="I28" s="7" t="s">
        <v>87</v>
      </c>
      <c r="K28" s="35"/>
      <c r="L28" s="127">
        <v>100</v>
      </c>
      <c r="M28" s="127"/>
      <c r="N28" s="31">
        <f>IF(L28&gt;0,(L28*(0.08/100)),0)</f>
        <v>0.08</v>
      </c>
      <c r="P28" s="6" t="s">
        <v>0</v>
      </c>
      <c r="Q28" s="6"/>
      <c r="R28" s="6"/>
      <c r="S28" s="101" t="s">
        <v>24</v>
      </c>
      <c r="T28" s="101"/>
      <c r="U28" s="4">
        <f>(U27-((14.7-U27)*(R20-U20))/(V22))</f>
        <v>0.29001447737001307</v>
      </c>
      <c r="V28" s="54"/>
    </row>
    <row r="29" spans="1:22" ht="13.7" customHeight="1" x14ac:dyDescent="0.2">
      <c r="A29" s="27" t="s">
        <v>44</v>
      </c>
      <c r="B29" s="27"/>
      <c r="C29" s="83">
        <v>75</v>
      </c>
      <c r="D29" s="83"/>
      <c r="E29" s="80">
        <v>62.55</v>
      </c>
      <c r="F29" s="80"/>
      <c r="G29" s="25"/>
      <c r="H29" s="27"/>
      <c r="I29" s="36" t="s">
        <v>88</v>
      </c>
      <c r="J29" s="65"/>
      <c r="K29" s="64"/>
      <c r="L29" s="128"/>
      <c r="M29" s="129"/>
      <c r="N29" s="31">
        <f>IF(K29&gt;0,(M29*K29),0)</f>
        <v>0</v>
      </c>
      <c r="P29" s="6" t="s">
        <v>0</v>
      </c>
      <c r="Q29" s="6"/>
      <c r="R29" s="6"/>
      <c r="S29" s="101" t="s">
        <v>25</v>
      </c>
      <c r="T29" s="101"/>
      <c r="U29" s="4">
        <f>100*(U28/R27)</f>
        <v>32.425542780552639</v>
      </c>
      <c r="V29" s="54"/>
    </row>
    <row r="30" spans="1:22" ht="13.7" customHeight="1" x14ac:dyDescent="0.2">
      <c r="A30" s="68"/>
      <c r="B30" s="68"/>
      <c r="C30" s="68"/>
      <c r="D30" s="27"/>
      <c r="E30" s="75"/>
      <c r="F30" s="75"/>
      <c r="G30" s="25"/>
      <c r="H30" s="27"/>
      <c r="I30" s="36" t="s">
        <v>88</v>
      </c>
      <c r="J30" s="66"/>
      <c r="K30" s="64"/>
      <c r="L30" s="128"/>
      <c r="M30" s="129"/>
      <c r="N30" s="31">
        <f>IF(K30&gt;0,(M30*K30),0)</f>
        <v>0</v>
      </c>
      <c r="P30" s="6"/>
      <c r="Q30" s="6"/>
      <c r="R30" s="6"/>
      <c r="S30" s="101" t="s">
        <v>26</v>
      </c>
      <c r="T30" s="101"/>
      <c r="U30" s="4">
        <f>(U28/(14.7-U28))*0.62189</f>
        <v>1.2516119676067533E-2</v>
      </c>
      <c r="V30" s="54"/>
    </row>
    <row r="31" spans="1:22" ht="13.7" customHeight="1" x14ac:dyDescent="0.2">
      <c r="A31" s="68" t="s">
        <v>55</v>
      </c>
      <c r="B31" s="68"/>
      <c r="C31" s="68"/>
      <c r="D31" s="22" t="s">
        <v>10</v>
      </c>
      <c r="E31" s="79">
        <v>100</v>
      </c>
      <c r="F31" s="79"/>
      <c r="G31" s="25"/>
      <c r="H31" s="27"/>
      <c r="I31" s="36" t="s">
        <v>88</v>
      </c>
      <c r="J31" s="66"/>
      <c r="K31" s="64"/>
      <c r="L31" s="128"/>
      <c r="M31" s="129"/>
      <c r="N31" s="37">
        <f>IF(K31&gt;0,(M31*K31),0)</f>
        <v>0</v>
      </c>
      <c r="P31" s="6"/>
      <c r="Q31" s="6"/>
      <c r="R31" s="6"/>
      <c r="S31" s="101" t="s">
        <v>27</v>
      </c>
      <c r="T31" s="101"/>
      <c r="U31" s="2">
        <f>7000*U30</f>
        <v>87.612837732472727</v>
      </c>
      <c r="V31" s="54"/>
    </row>
    <row r="32" spans="1:22" ht="13.7" customHeight="1" thickBot="1" x14ac:dyDescent="0.25">
      <c r="A32" s="81">
        <v>0</v>
      </c>
      <c r="B32" s="81"/>
      <c r="C32" s="81"/>
      <c r="D32" s="22" t="s">
        <v>10</v>
      </c>
      <c r="E32" s="78">
        <f>CEILING((E13*1.08*(C41-C42))*(1+A32),5)</f>
        <v>1681805</v>
      </c>
      <c r="F32" s="78"/>
      <c r="G32" s="25"/>
      <c r="H32" s="38"/>
      <c r="I32" s="7" t="s">
        <v>89</v>
      </c>
      <c r="N32" s="39">
        <f>SUM(N11:N31)</f>
        <v>0.4</v>
      </c>
      <c r="P32" s="6"/>
      <c r="Q32" s="6"/>
      <c r="R32" s="6"/>
      <c r="S32" s="101" t="s">
        <v>28</v>
      </c>
      <c r="T32" s="101"/>
      <c r="U32" s="2">
        <f>((R20+460)*0.3705)/14.7</f>
        <v>14.063877551020409</v>
      </c>
      <c r="V32" s="54"/>
    </row>
    <row r="33" spans="1:22" ht="13.7" customHeight="1" thickTop="1" thickBot="1" x14ac:dyDescent="0.25">
      <c r="A33" s="82">
        <v>0</v>
      </c>
      <c r="B33" s="82"/>
      <c r="C33" s="82"/>
      <c r="D33" s="22" t="s">
        <v>10</v>
      </c>
      <c r="E33" s="78">
        <f>CEILING(((E21*(U31-U48)*0.68)+(E31*200))*(1+A33),5)</f>
        <v>207530</v>
      </c>
      <c r="F33" s="78"/>
      <c r="G33" s="25"/>
      <c r="H33" s="38"/>
      <c r="I33" s="40" t="s">
        <v>90</v>
      </c>
      <c r="J33" s="40"/>
      <c r="K33" s="40"/>
      <c r="L33" s="40"/>
      <c r="M33" s="40"/>
      <c r="N33" s="41">
        <f>CEILING(N32,0.1)</f>
        <v>0.4</v>
      </c>
      <c r="P33" s="6"/>
      <c r="Q33" s="6"/>
      <c r="R33" s="6"/>
      <c r="S33" s="101" t="s">
        <v>29</v>
      </c>
      <c r="T33" s="101"/>
      <c r="U33" s="2">
        <f>(((((U32*14.7/(14.7-R27))-U32)*U30)/0.62189/R27*(14.7-R27))+U32)</f>
        <v>14.346926280760606</v>
      </c>
      <c r="V33" s="54"/>
    </row>
    <row r="34" spans="1:22" ht="13.7" customHeight="1" thickTop="1" x14ac:dyDescent="0.2">
      <c r="A34" s="68" t="s">
        <v>56</v>
      </c>
      <c r="B34" s="68"/>
      <c r="C34" s="68"/>
      <c r="D34" s="22" t="s">
        <v>10</v>
      </c>
      <c r="E34" s="77">
        <f>C29</f>
        <v>75</v>
      </c>
      <c r="F34" s="77"/>
      <c r="G34" s="25"/>
      <c r="H34" s="38"/>
      <c r="I34" s="126" t="s">
        <v>91</v>
      </c>
      <c r="J34" s="126"/>
      <c r="K34" s="126"/>
      <c r="L34" s="126"/>
      <c r="M34" s="126"/>
      <c r="N34" s="126"/>
      <c r="P34" s="6"/>
      <c r="Q34" s="6"/>
      <c r="R34" s="6"/>
      <c r="S34" s="101" t="s">
        <v>30</v>
      </c>
      <c r="T34" s="101"/>
      <c r="U34" s="2">
        <f>(0.24*R20)+(U30*(1061.2+(0.444*R20)))</f>
        <v>37.346707599587916</v>
      </c>
      <c r="V34" s="54"/>
    </row>
    <row r="35" spans="1:22" ht="13.7" customHeight="1" x14ac:dyDescent="0.2">
      <c r="A35" s="68" t="s">
        <v>57</v>
      </c>
      <c r="B35" s="68"/>
      <c r="C35" s="68"/>
      <c r="D35" s="22" t="s">
        <v>10</v>
      </c>
      <c r="E35" s="76">
        <v>20</v>
      </c>
      <c r="F35" s="76"/>
      <c r="G35" s="25"/>
      <c r="H35" s="27"/>
      <c r="I35" s="27" t="s">
        <v>81</v>
      </c>
      <c r="J35" s="27"/>
      <c r="K35" s="63"/>
      <c r="L35" s="132">
        <v>0.5</v>
      </c>
      <c r="M35" s="133"/>
      <c r="N35" s="31">
        <f t="shared" ref="N35:N43" si="1">IF(K35&gt;0,(L35*K35),0)</f>
        <v>0</v>
      </c>
    </row>
    <row r="36" spans="1:22" ht="13.7" customHeight="1" x14ac:dyDescent="0.2">
      <c r="A36" s="68"/>
      <c r="B36" s="68"/>
      <c r="C36" s="68"/>
      <c r="D36" s="27"/>
      <c r="E36" s="75"/>
      <c r="F36" s="75"/>
      <c r="G36" s="25"/>
      <c r="H36" s="27"/>
      <c r="I36" s="27" t="s">
        <v>92</v>
      </c>
      <c r="J36" s="27"/>
      <c r="K36" s="63"/>
      <c r="L36" s="132">
        <v>0.25</v>
      </c>
      <c r="M36" s="133"/>
      <c r="N36" s="31">
        <f t="shared" si="1"/>
        <v>0</v>
      </c>
      <c r="P36" s="102" t="s">
        <v>9</v>
      </c>
      <c r="Q36" s="103"/>
      <c r="R36" s="103"/>
      <c r="S36" s="103"/>
      <c r="T36" s="103"/>
      <c r="U36" s="103"/>
      <c r="V36" s="104"/>
    </row>
    <row r="37" spans="1:22" ht="13.7" customHeight="1" x14ac:dyDescent="0.2">
      <c r="A37" s="68" t="s">
        <v>58</v>
      </c>
      <c r="B37" s="68"/>
      <c r="C37" s="68"/>
      <c r="D37" s="22" t="s">
        <v>10</v>
      </c>
      <c r="E37" s="79" t="s">
        <v>104</v>
      </c>
      <c r="F37" s="79"/>
      <c r="G37" s="25"/>
      <c r="H37" s="27"/>
      <c r="I37" s="7" t="s">
        <v>93</v>
      </c>
      <c r="K37" s="64"/>
      <c r="L37" s="132">
        <v>0.2</v>
      </c>
      <c r="M37" s="136"/>
      <c r="N37" s="31">
        <f t="shared" si="1"/>
        <v>0</v>
      </c>
      <c r="P37" s="1" t="s">
        <v>14</v>
      </c>
      <c r="Q37" s="1"/>
      <c r="R37" s="3">
        <f>(C29)</f>
        <v>75</v>
      </c>
      <c r="S37" s="101" t="s">
        <v>22</v>
      </c>
      <c r="T37" s="101"/>
      <c r="U37" s="2">
        <f>(E29)</f>
        <v>62.55</v>
      </c>
      <c r="V37" s="54"/>
    </row>
    <row r="38" spans="1:22" ht="13.7" customHeight="1" x14ac:dyDescent="0.2">
      <c r="A38" s="68" t="s">
        <v>59</v>
      </c>
      <c r="B38" s="68"/>
      <c r="C38" s="68"/>
      <c r="D38" s="22" t="s">
        <v>10</v>
      </c>
      <c r="E38" s="78">
        <f>((E13*N46)/(6356*0.6)*2545)</f>
        <v>88089.993706733789</v>
      </c>
      <c r="F38" s="78"/>
      <c r="G38" s="25"/>
      <c r="H38" s="27"/>
      <c r="I38" s="7" t="s">
        <v>94</v>
      </c>
      <c r="K38" s="64"/>
      <c r="L38" s="132">
        <v>0.25</v>
      </c>
      <c r="M38" s="136"/>
      <c r="N38" s="31">
        <f t="shared" si="1"/>
        <v>0</v>
      </c>
      <c r="P38" s="1" t="s">
        <v>15</v>
      </c>
      <c r="Q38" s="1"/>
      <c r="R38" s="2">
        <f>((R37-32)*5/9)+273.16</f>
        <v>297.04888888888894</v>
      </c>
      <c r="S38" s="101" t="s">
        <v>15</v>
      </c>
      <c r="T38" s="101"/>
      <c r="U38" s="2">
        <f>((U37-32)*5/9)+273.16</f>
        <v>290.13222222222225</v>
      </c>
      <c r="V38" s="54"/>
    </row>
    <row r="39" spans="1:22" ht="13.7" customHeight="1" x14ac:dyDescent="0.2">
      <c r="A39" s="68" t="s">
        <v>60</v>
      </c>
      <c r="B39" s="68"/>
      <c r="C39" s="68"/>
      <c r="D39" s="22" t="s">
        <v>10</v>
      </c>
      <c r="E39" s="77">
        <f>E38/(E13*1.0845)</f>
        <v>1.3537727632816012</v>
      </c>
      <c r="F39" s="77"/>
      <c r="G39" s="25"/>
      <c r="H39" s="27"/>
      <c r="I39" s="7" t="s">
        <v>95</v>
      </c>
      <c r="K39" s="64">
        <v>1</v>
      </c>
      <c r="L39" s="132">
        <v>0.35</v>
      </c>
      <c r="M39" s="136"/>
      <c r="N39" s="31">
        <f t="shared" si="1"/>
        <v>0.35</v>
      </c>
      <c r="P39" s="1" t="s">
        <v>16</v>
      </c>
      <c r="Q39" s="1"/>
      <c r="R39" s="4">
        <f>(1/(R38/273.16))</f>
        <v>0.91957926865760964</v>
      </c>
      <c r="S39" s="101" t="s">
        <v>16</v>
      </c>
      <c r="T39" s="101"/>
      <c r="U39" s="4">
        <f>(1/(U38/273.16))</f>
        <v>0.94150176739341063</v>
      </c>
      <c r="V39" s="8">
        <f>(2830-1.44*U37)</f>
        <v>2739.9279999999999</v>
      </c>
    </row>
    <row r="40" spans="1:22" ht="13.7" customHeight="1" thickBot="1" x14ac:dyDescent="0.25">
      <c r="A40" s="21"/>
      <c r="B40" s="21"/>
      <c r="C40" s="42" t="s">
        <v>5</v>
      </c>
      <c r="D40" s="91" t="s">
        <v>6</v>
      </c>
      <c r="E40" s="91"/>
      <c r="F40" s="42" t="s">
        <v>37</v>
      </c>
      <c r="G40" s="25"/>
      <c r="H40" s="27"/>
      <c r="I40" s="7" t="s">
        <v>74</v>
      </c>
      <c r="K40" s="64">
        <v>1</v>
      </c>
      <c r="L40" s="132">
        <v>0.25</v>
      </c>
      <c r="M40" s="136"/>
      <c r="N40" s="31">
        <f t="shared" si="1"/>
        <v>0.25</v>
      </c>
      <c r="P40" s="1" t="s">
        <v>17</v>
      </c>
      <c r="Q40" s="1"/>
      <c r="R40" s="4">
        <f>((R39-1)*-1)</f>
        <v>8.0420731342390361E-2</v>
      </c>
      <c r="S40" s="101" t="s">
        <v>17</v>
      </c>
      <c r="T40" s="101"/>
      <c r="U40" s="4">
        <f>((U39-1)*-1)</f>
        <v>5.8498232606589373E-2</v>
      </c>
      <c r="V40" s="54"/>
    </row>
    <row r="41" spans="1:22" ht="13.7" customHeight="1" thickBot="1" x14ac:dyDescent="0.25">
      <c r="A41" s="27" t="s">
        <v>38</v>
      </c>
      <c r="B41" s="27"/>
      <c r="C41" s="60">
        <f>IF(E37="Draw Thru",((E25*C29)+(E21*C28))/E13,(((E25*C29)+(E21*C28))/E13)+E39)</f>
        <v>80.953772763281592</v>
      </c>
      <c r="D41" s="92">
        <f>((E25*E29)+(E21*E28))/E13</f>
        <v>64.84</v>
      </c>
      <c r="E41" s="93"/>
      <c r="F41" s="43">
        <f>(F42+(((E32/1.15)+(E33/1.15))/(4.5*E13)))</f>
        <v>28.956030852899346</v>
      </c>
      <c r="G41" s="25"/>
      <c r="H41" s="27"/>
      <c r="I41" s="7" t="s">
        <v>96</v>
      </c>
      <c r="K41" s="64"/>
      <c r="L41" s="132">
        <v>0.4</v>
      </c>
      <c r="M41" s="136"/>
      <c r="N41" s="31">
        <f t="shared" si="1"/>
        <v>0</v>
      </c>
      <c r="P41" s="1" t="s">
        <v>18</v>
      </c>
      <c r="Q41" s="1"/>
      <c r="R41" s="4">
        <f>((1/R39)-1)</f>
        <v>8.7453832511674046E-2</v>
      </c>
      <c r="S41" s="101" t="s">
        <v>18</v>
      </c>
      <c r="T41" s="101"/>
      <c r="U41" s="4">
        <f>((1/U39)-1)</f>
        <v>6.2132897284456812E-2</v>
      </c>
      <c r="V41" s="54"/>
    </row>
    <row r="42" spans="1:22" ht="13.7" customHeight="1" thickBot="1" x14ac:dyDescent="0.25">
      <c r="A42" s="27" t="s">
        <v>39</v>
      </c>
      <c r="B42" s="27"/>
      <c r="C42" s="61">
        <f>IF(E37="Draw Thru",E34-E35-E39,E34-E35)</f>
        <v>55</v>
      </c>
      <c r="D42" s="94">
        <f>(C42-0.5)</f>
        <v>54.5</v>
      </c>
      <c r="E42" s="95"/>
      <c r="F42" s="43">
        <f>(0.24*R3)+(U13*(1061.2+(0.444*R3)))</f>
        <v>22.871216038084533</v>
      </c>
      <c r="G42" s="25"/>
      <c r="H42" s="38"/>
      <c r="I42" s="7" t="s">
        <v>97</v>
      </c>
      <c r="K42" s="64">
        <v>1</v>
      </c>
      <c r="L42" s="132">
        <v>1.2</v>
      </c>
      <c r="M42" s="136"/>
      <c r="N42" s="31">
        <f t="shared" si="1"/>
        <v>1.2</v>
      </c>
      <c r="P42" s="1" t="s">
        <v>19</v>
      </c>
      <c r="Q42" s="1"/>
      <c r="R42" s="4">
        <f>(10.79586*R40)</f>
        <v>0.86821095667005832</v>
      </c>
      <c r="S42" s="101" t="s">
        <v>19</v>
      </c>
      <c r="T42" s="101"/>
      <c r="U42" s="4">
        <f>(10.79586*U40)</f>
        <v>0.63153872946817391</v>
      </c>
      <c r="V42" s="54"/>
    </row>
    <row r="43" spans="1:22" ht="13.7" customHeight="1" x14ac:dyDescent="0.2">
      <c r="A43" s="96">
        <v>0</v>
      </c>
      <c r="B43" s="96"/>
      <c r="C43" s="96"/>
      <c r="D43" s="22" t="s">
        <v>10</v>
      </c>
      <c r="E43" s="100">
        <f>CEILING((E13*4.5*(F41-F42))*(1+A43),5)</f>
        <v>1642900</v>
      </c>
      <c r="F43" s="100"/>
      <c r="G43" s="30"/>
      <c r="H43" s="27"/>
      <c r="I43" s="7" t="s">
        <v>70</v>
      </c>
      <c r="K43" s="64"/>
      <c r="L43" s="132">
        <v>0.15</v>
      </c>
      <c r="M43" s="136"/>
      <c r="N43" s="37">
        <f t="shared" si="1"/>
        <v>0</v>
      </c>
      <c r="P43" s="1" t="s">
        <v>20</v>
      </c>
      <c r="Q43" s="1"/>
      <c r="R43" s="4">
        <f>10^(R42+(((LOG(R39))*(1/LOG(10)))*5.02808)+((1+(-1*(10^(-8.29692*R41))))*0.000150474)+(((10^(4.76955*R40))-1)*0.00042873)-1.05235)</f>
        <v>0.43004586964320557</v>
      </c>
      <c r="S43" s="101" t="s">
        <v>20</v>
      </c>
      <c r="T43" s="101"/>
      <c r="U43" s="4">
        <f>10^(U42+(((LOG(U39))*(1/LOG(10)))*5.02808)+((1+(-1*(10^(-8.29692*U41))))*0.000150474)+(((10^(4.76955*U40))-1)*0.00042873)-1.05235)</f>
        <v>0.28057580857830028</v>
      </c>
      <c r="V43" s="54"/>
    </row>
    <row r="44" spans="1:22" ht="13.7" customHeight="1" x14ac:dyDescent="0.2">
      <c r="A44" s="73" t="s">
        <v>40</v>
      </c>
      <c r="B44" s="73"/>
      <c r="C44" s="73"/>
      <c r="D44" s="22" t="s">
        <v>10</v>
      </c>
      <c r="E44" s="99">
        <f>(E43/12000)</f>
        <v>136.90833333333333</v>
      </c>
      <c r="F44" s="99"/>
      <c r="G44" s="30"/>
      <c r="I44" s="84" t="s">
        <v>98</v>
      </c>
      <c r="J44" s="84"/>
      <c r="K44" s="84"/>
      <c r="L44" s="84"/>
      <c r="M44" s="44" t="s">
        <v>10</v>
      </c>
      <c r="N44" s="45">
        <f>SUM(N35:N43)</f>
        <v>1.7999999999999998</v>
      </c>
      <c r="P44" s="1" t="s">
        <v>21</v>
      </c>
      <c r="Q44" s="1"/>
      <c r="R44" s="4">
        <f>1*R43</f>
        <v>0.43004586964320557</v>
      </c>
      <c r="S44" s="101" t="s">
        <v>23</v>
      </c>
      <c r="T44" s="101"/>
      <c r="U44" s="4">
        <f>1*U43</f>
        <v>0.28057580857830028</v>
      </c>
      <c r="V44" s="54"/>
    </row>
    <row r="45" spans="1:22" ht="13.7" customHeight="1" thickBot="1" x14ac:dyDescent="0.25">
      <c r="A45" s="68" t="s">
        <v>41</v>
      </c>
      <c r="B45" s="68"/>
      <c r="C45" s="68"/>
      <c r="D45" s="22" t="s">
        <v>10</v>
      </c>
      <c r="E45" s="76">
        <v>58</v>
      </c>
      <c r="F45" s="76"/>
      <c r="G45" s="25"/>
      <c r="I45" s="84" t="s">
        <v>99</v>
      </c>
      <c r="J45" s="84"/>
      <c r="K45" s="84"/>
      <c r="L45" s="84"/>
      <c r="M45" s="44" t="s">
        <v>10</v>
      </c>
      <c r="N45" s="45">
        <f>N32+N44</f>
        <v>2.1999999999999997</v>
      </c>
      <c r="P45" s="6" t="s">
        <v>0</v>
      </c>
      <c r="Q45" s="6"/>
      <c r="R45" s="6"/>
      <c r="S45" s="101" t="s">
        <v>24</v>
      </c>
      <c r="T45" s="101"/>
      <c r="U45" s="4">
        <f>(U44-((14.7-U44)*(R37-U37))/(V39))</f>
        <v>0.21505517037788036</v>
      </c>
      <c r="V45" s="54"/>
    </row>
    <row r="46" spans="1:22" ht="13.7" customHeight="1" thickTop="1" thickBot="1" x14ac:dyDescent="0.25">
      <c r="A46" s="68" t="s">
        <v>42</v>
      </c>
      <c r="B46" s="68"/>
      <c r="C46" s="68"/>
      <c r="D46" s="22" t="s">
        <v>10</v>
      </c>
      <c r="E46" s="76">
        <v>44</v>
      </c>
      <c r="F46" s="76"/>
      <c r="G46" s="25"/>
      <c r="I46" s="86" t="s">
        <v>102</v>
      </c>
      <c r="J46" s="86"/>
      <c r="K46" s="86"/>
      <c r="L46" s="86"/>
      <c r="M46" s="46" t="s">
        <v>10</v>
      </c>
      <c r="N46" s="41">
        <f>CEILING(N45,0.1)</f>
        <v>2.2000000000000002</v>
      </c>
      <c r="P46" s="6" t="s">
        <v>0</v>
      </c>
      <c r="Q46" s="6"/>
      <c r="R46" s="6"/>
      <c r="S46" s="101" t="s">
        <v>25</v>
      </c>
      <c r="T46" s="101"/>
      <c r="U46" s="4">
        <f>100*(U45/R44)</f>
        <v>50.007495841386486</v>
      </c>
      <c r="V46" s="54"/>
    </row>
    <row r="47" spans="1:22" ht="13.7" customHeight="1" thickTop="1" thickBot="1" x14ac:dyDescent="0.25">
      <c r="A47" s="73" t="s">
        <v>61</v>
      </c>
      <c r="B47" s="73"/>
      <c r="C47" s="73"/>
      <c r="D47" s="22" t="s">
        <v>10</v>
      </c>
      <c r="E47" s="98">
        <f>E43/(500*(E45-E46))</f>
        <v>234.7</v>
      </c>
      <c r="F47" s="98"/>
      <c r="G47" s="30"/>
      <c r="H47" s="55"/>
      <c r="I47" s="85" t="s">
        <v>100</v>
      </c>
      <c r="J47" s="85"/>
      <c r="K47" s="85"/>
      <c r="L47" s="85"/>
      <c r="M47" s="47" t="s">
        <v>10</v>
      </c>
      <c r="N47" s="48">
        <f>(E13*N46)/(6356*0.6)</f>
        <v>34.612964128382629</v>
      </c>
      <c r="P47" s="6"/>
      <c r="Q47" s="6"/>
      <c r="R47" s="6"/>
      <c r="S47" s="101" t="s">
        <v>26</v>
      </c>
      <c r="T47" s="101"/>
      <c r="U47" s="4">
        <f>(U45/(14.7-U45))*0.62189</f>
        <v>9.2330803796226157E-3</v>
      </c>
      <c r="V47" s="54"/>
    </row>
    <row r="48" spans="1:22" ht="13.7" customHeight="1" thickBot="1" x14ac:dyDescent="0.25">
      <c r="A48" s="87" t="s">
        <v>32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P48" s="6"/>
      <c r="Q48" s="6"/>
      <c r="R48" s="6"/>
      <c r="S48" s="101" t="s">
        <v>27</v>
      </c>
      <c r="T48" s="101"/>
      <c r="U48" s="2">
        <f>7000*U47</f>
        <v>64.631562657358316</v>
      </c>
      <c r="V48" s="54"/>
    </row>
    <row r="49" spans="1:22" ht="13.7" customHeight="1" x14ac:dyDescent="0.2">
      <c r="A49" s="97" t="s">
        <v>62</v>
      </c>
      <c r="B49" s="97"/>
      <c r="C49" s="97"/>
      <c r="D49" s="44" t="s">
        <v>10</v>
      </c>
      <c r="E49" s="90">
        <v>10</v>
      </c>
      <c r="F49" s="90"/>
      <c r="G49" s="49"/>
      <c r="H49" s="49"/>
      <c r="I49" s="97" t="s">
        <v>42</v>
      </c>
      <c r="J49" s="97"/>
      <c r="K49" s="97"/>
      <c r="L49" s="97"/>
      <c r="M49" s="44" t="s">
        <v>10</v>
      </c>
      <c r="N49" s="67">
        <v>200</v>
      </c>
      <c r="P49" s="6"/>
      <c r="Q49" s="6"/>
      <c r="R49" s="6"/>
      <c r="S49" s="101" t="s">
        <v>28</v>
      </c>
      <c r="T49" s="101"/>
      <c r="U49" s="2">
        <f>((R37+460)*0.3705)/14.7</f>
        <v>13.484183673469389</v>
      </c>
      <c r="V49" s="54"/>
    </row>
    <row r="50" spans="1:22" ht="13.7" customHeight="1" x14ac:dyDescent="0.2">
      <c r="A50" s="68" t="s">
        <v>63</v>
      </c>
      <c r="B50" s="68"/>
      <c r="C50" s="68"/>
      <c r="D50" s="44" t="s">
        <v>10</v>
      </c>
      <c r="E50" s="89">
        <f>C29</f>
        <v>75</v>
      </c>
      <c r="F50" s="89"/>
      <c r="I50" s="84" t="s">
        <v>41</v>
      </c>
      <c r="J50" s="84"/>
      <c r="K50" s="84"/>
      <c r="L50" s="84"/>
      <c r="M50" s="44" t="s">
        <v>10</v>
      </c>
      <c r="N50" s="62">
        <v>160</v>
      </c>
      <c r="P50" s="6"/>
      <c r="Q50" s="6"/>
      <c r="R50" s="6"/>
      <c r="S50" s="101" t="s">
        <v>29</v>
      </c>
      <c r="T50" s="101"/>
      <c r="U50" s="2">
        <f>(((((U49*14.7/(14.7-R44))-U49)*U47)/0.62189/R44*(14.7-R44))+U49)</f>
        <v>13.684380736793671</v>
      </c>
      <c r="V50" s="54"/>
    </row>
    <row r="51" spans="1:22" ht="13.7" customHeight="1" x14ac:dyDescent="0.2">
      <c r="A51" s="68" t="s">
        <v>64</v>
      </c>
      <c r="B51" s="68"/>
      <c r="C51" s="68"/>
      <c r="D51" s="44" t="s">
        <v>10</v>
      </c>
      <c r="E51" s="89">
        <f>((E25*E50)+(E21*E49))/E13</f>
        <v>62</v>
      </c>
      <c r="F51" s="89"/>
      <c r="I51" s="84" t="s">
        <v>67</v>
      </c>
      <c r="J51" s="84"/>
      <c r="K51" s="84"/>
      <c r="L51" s="84"/>
      <c r="M51" s="44" t="s">
        <v>10</v>
      </c>
      <c r="N51" s="62">
        <v>60</v>
      </c>
      <c r="P51" s="6"/>
      <c r="Q51" s="6"/>
      <c r="R51" s="6"/>
      <c r="S51" s="101" t="s">
        <v>30</v>
      </c>
      <c r="T51" s="101"/>
      <c r="U51" s="2">
        <f>(0.24*R37)+(U47*(1061.2+(0.444*R37)))</f>
        <v>28.105606475496955</v>
      </c>
      <c r="V51" s="54"/>
    </row>
    <row r="52" spans="1:22" ht="13.7" customHeight="1" thickBot="1" x14ac:dyDescent="0.25">
      <c r="A52" s="85" t="s">
        <v>65</v>
      </c>
      <c r="B52" s="85"/>
      <c r="C52" s="85"/>
      <c r="D52" s="50" t="s">
        <v>10</v>
      </c>
      <c r="E52" s="88" t="str">
        <f>IF((E13*1.08*(N51-E51))&lt;0,"Not Required",(E13*1.08*(N51-E51)))</f>
        <v>Not Required</v>
      </c>
      <c r="F52" s="88"/>
      <c r="G52" s="51"/>
      <c r="H52" s="51"/>
      <c r="I52" s="85" t="s">
        <v>101</v>
      </c>
      <c r="J52" s="85"/>
      <c r="K52" s="85"/>
      <c r="L52" s="85"/>
      <c r="M52" s="58" t="s">
        <v>10</v>
      </c>
      <c r="N52" s="52">
        <f>E52/(500*(N49-N50))</f>
        <v>0</v>
      </c>
    </row>
    <row r="53" spans="1:22" ht="13.7" customHeight="1" thickBot="1" x14ac:dyDescent="0.25">
      <c r="A53" s="87" t="s">
        <v>33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</row>
    <row r="54" spans="1:22" ht="13.7" customHeight="1" x14ac:dyDescent="0.2">
      <c r="A54" s="68" t="s">
        <v>66</v>
      </c>
      <c r="B54" s="68"/>
      <c r="C54" s="68"/>
      <c r="D54" s="44" t="s">
        <v>10</v>
      </c>
      <c r="E54" s="57">
        <f>((E25*E34)+(E21*E49))/E13</f>
        <v>62</v>
      </c>
      <c r="F54" s="68"/>
      <c r="G54" s="68"/>
      <c r="H54" s="68"/>
      <c r="I54" s="97" t="s">
        <v>42</v>
      </c>
      <c r="J54" s="97"/>
      <c r="K54" s="97"/>
      <c r="L54" s="97"/>
      <c r="M54" s="44" t="s">
        <v>10</v>
      </c>
      <c r="N54" s="56">
        <f>N49</f>
        <v>200</v>
      </c>
    </row>
    <row r="55" spans="1:22" ht="13.7" customHeight="1" x14ac:dyDescent="0.2">
      <c r="A55" s="84" t="s">
        <v>67</v>
      </c>
      <c r="B55" s="84"/>
      <c r="C55" s="84"/>
      <c r="D55" s="44" t="s">
        <v>10</v>
      </c>
      <c r="E55" s="62">
        <v>100</v>
      </c>
      <c r="F55" s="84"/>
      <c r="G55" s="84"/>
      <c r="H55" s="84"/>
      <c r="I55" s="84" t="s">
        <v>41</v>
      </c>
      <c r="J55" s="84"/>
      <c r="K55" s="84"/>
      <c r="L55" s="84"/>
      <c r="M55" s="44" t="s">
        <v>10</v>
      </c>
      <c r="N55" s="57">
        <f>N50</f>
        <v>160</v>
      </c>
    </row>
    <row r="56" spans="1:22" ht="13.7" customHeight="1" x14ac:dyDescent="0.2">
      <c r="A56" s="86" t="s">
        <v>68</v>
      </c>
      <c r="B56" s="86"/>
      <c r="C56" s="86"/>
      <c r="D56" s="44" t="s">
        <v>10</v>
      </c>
      <c r="E56" s="105">
        <f>E13*1.08*(E55-E54)</f>
        <v>2462400.0000000005</v>
      </c>
      <c r="F56" s="105"/>
      <c r="G56" s="40"/>
      <c r="H56" s="40"/>
      <c r="I56" s="86" t="s">
        <v>101</v>
      </c>
      <c r="J56" s="86"/>
      <c r="K56" s="86"/>
      <c r="L56" s="86"/>
      <c r="M56" s="58" t="s">
        <v>10</v>
      </c>
      <c r="N56" s="53">
        <f>E56/(500*(N54-N55))</f>
        <v>123.12000000000002</v>
      </c>
    </row>
    <row r="57" spans="1:22" ht="15" customHeight="1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</row>
    <row r="58" spans="1:22" ht="12.75" customHeight="1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</row>
    <row r="59" spans="1:22" ht="12.75" customHeight="1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1:22" ht="12.75" customHeight="1" x14ac:dyDescent="0.2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1:22" ht="12.75" customHeight="1" x14ac:dyDescent="0.2">
      <c r="G61" s="9"/>
      <c r="H61" s="9"/>
      <c r="I61" s="10"/>
      <c r="J61" s="10"/>
      <c r="K61" s="10"/>
      <c r="L61" s="10"/>
      <c r="M61" s="11"/>
    </row>
    <row r="62" spans="1:22" ht="12.75" customHeight="1" x14ac:dyDescent="0.2">
      <c r="G62" s="12"/>
      <c r="H62" s="12"/>
      <c r="I62" s="12"/>
      <c r="J62" s="12"/>
      <c r="K62" s="12"/>
      <c r="L62" s="12"/>
      <c r="M62" s="13"/>
    </row>
    <row r="63" spans="1:22" ht="12.75" customHeight="1" x14ac:dyDescent="0.2">
      <c r="M63" s="13"/>
    </row>
    <row r="64" spans="1:22" ht="12.75" customHeight="1" x14ac:dyDescent="0.2">
      <c r="G64" s="14"/>
      <c r="H64" s="14"/>
      <c r="I64" s="14"/>
      <c r="J64" s="14"/>
      <c r="K64" s="14"/>
      <c r="L64" s="14"/>
      <c r="M64" s="14"/>
    </row>
    <row r="65" spans="7:13" ht="12.75" customHeight="1" x14ac:dyDescent="0.2">
      <c r="M65" s="13"/>
    </row>
    <row r="66" spans="7:13" ht="12.75" customHeight="1" x14ac:dyDescent="0.2">
      <c r="M66" s="13"/>
    </row>
    <row r="67" spans="7:13" ht="12.75" customHeight="1" x14ac:dyDescent="0.2">
      <c r="M67" s="13"/>
    </row>
    <row r="68" spans="7:13" ht="12.75" customHeight="1" x14ac:dyDescent="0.2">
      <c r="M68" s="13"/>
    </row>
    <row r="69" spans="7:13" ht="12.75" customHeight="1" x14ac:dyDescent="0.2">
      <c r="M69" s="13"/>
    </row>
    <row r="70" spans="7:13" ht="12.75" customHeight="1" x14ac:dyDescent="0.2">
      <c r="M70" s="13"/>
    </row>
    <row r="71" spans="7:13" ht="12.75" customHeight="1" x14ac:dyDescent="0.2">
      <c r="M71" s="13"/>
    </row>
    <row r="72" spans="7:13" ht="12.75" customHeight="1" x14ac:dyDescent="0.2">
      <c r="M72" s="13"/>
    </row>
    <row r="73" spans="7:13" ht="12.75" customHeight="1" x14ac:dyDescent="0.2">
      <c r="M73" s="13"/>
    </row>
    <row r="74" spans="7:13" ht="12.75" customHeight="1" x14ac:dyDescent="0.2">
      <c r="M74" s="13"/>
    </row>
    <row r="75" spans="7:13" ht="12.75" customHeight="1" x14ac:dyDescent="0.2">
      <c r="M75" s="13"/>
    </row>
    <row r="76" spans="7:13" ht="12.75" customHeight="1" x14ac:dyDescent="0.2">
      <c r="M76" s="13"/>
    </row>
    <row r="78" spans="7:13" ht="12.75" customHeight="1" x14ac:dyDescent="0.2">
      <c r="G78" s="15"/>
      <c r="H78" s="9"/>
      <c r="I78" s="9"/>
      <c r="J78" s="9"/>
      <c r="K78" s="9"/>
      <c r="L78" s="9"/>
      <c r="M78" s="16"/>
    </row>
    <row r="79" spans="7:13" ht="12.75" customHeight="1" x14ac:dyDescent="0.2">
      <c r="M79" s="14"/>
    </row>
    <row r="80" spans="7:13" ht="12.75" customHeight="1" x14ac:dyDescent="0.2">
      <c r="M80" s="14"/>
    </row>
    <row r="81" spans="7:14" ht="12.75" customHeight="1" x14ac:dyDescent="0.2">
      <c r="G81" s="14"/>
      <c r="H81" s="14"/>
      <c r="I81" s="14"/>
      <c r="J81" s="14"/>
      <c r="K81" s="14"/>
      <c r="L81" s="14"/>
      <c r="M81" s="14"/>
    </row>
    <row r="82" spans="7:14" ht="12.75" customHeight="1" x14ac:dyDescent="0.2">
      <c r="M82" s="14"/>
    </row>
    <row r="83" spans="7:14" ht="12.75" customHeight="1" x14ac:dyDescent="0.2">
      <c r="M83" s="14"/>
    </row>
    <row r="84" spans="7:14" ht="12.75" customHeight="1" x14ac:dyDescent="0.2">
      <c r="M84" s="14"/>
    </row>
    <row r="85" spans="7:14" ht="12.75" customHeight="1" x14ac:dyDescent="0.2">
      <c r="M85" s="14"/>
    </row>
    <row r="86" spans="7:14" ht="12.75" customHeight="1" x14ac:dyDescent="0.2">
      <c r="M86" s="14"/>
    </row>
    <row r="87" spans="7:14" ht="12.75" customHeight="1" x14ac:dyDescent="0.2">
      <c r="M87" s="14"/>
    </row>
    <row r="88" spans="7:14" ht="12.75" customHeight="1" x14ac:dyDescent="0.2">
      <c r="M88" s="14"/>
    </row>
    <row r="89" spans="7:14" ht="12.75" customHeight="1" x14ac:dyDescent="0.2">
      <c r="M89" s="14"/>
    </row>
    <row r="90" spans="7:14" ht="12.75" customHeight="1" x14ac:dyDescent="0.2">
      <c r="M90" s="14"/>
    </row>
    <row r="91" spans="7:14" ht="12.75" customHeight="1" x14ac:dyDescent="0.2">
      <c r="M91" s="14"/>
    </row>
    <row r="92" spans="7:14" ht="12.75" customHeight="1" x14ac:dyDescent="0.2">
      <c r="M92" s="14"/>
    </row>
    <row r="93" spans="7:14" ht="12.75" customHeight="1" x14ac:dyDescent="0.2">
      <c r="M93" s="14"/>
    </row>
    <row r="95" spans="7:14" ht="12.75" customHeight="1" x14ac:dyDescent="0.2">
      <c r="G95" s="9"/>
      <c r="H95" s="9"/>
      <c r="I95" s="9"/>
      <c r="J95" s="9"/>
      <c r="K95" s="9"/>
      <c r="L95" s="9"/>
      <c r="M95" s="16"/>
      <c r="N95" s="13"/>
    </row>
    <row r="96" spans="7:14" ht="12.75" customHeight="1" x14ac:dyDescent="0.2">
      <c r="M96" s="14"/>
      <c r="N96" s="13"/>
    </row>
    <row r="97" spans="7:15" ht="12.75" customHeight="1" x14ac:dyDescent="0.2">
      <c r="M97" s="14"/>
      <c r="N97" s="13"/>
    </row>
    <row r="98" spans="7:15" ht="12.75" customHeight="1" x14ac:dyDescent="0.2">
      <c r="G98" s="14"/>
      <c r="H98" s="14"/>
      <c r="I98" s="14"/>
      <c r="J98" s="14"/>
      <c r="K98" s="14"/>
      <c r="L98" s="14"/>
      <c r="M98" s="14"/>
    </row>
    <row r="99" spans="7:15" ht="12.75" customHeight="1" x14ac:dyDescent="0.2">
      <c r="M99" s="14"/>
      <c r="N99" s="13"/>
      <c r="O99" s="13"/>
    </row>
    <row r="100" spans="7:15" ht="12.75" customHeight="1" x14ac:dyDescent="0.2">
      <c r="M100" s="14"/>
      <c r="N100" s="13"/>
      <c r="O100" s="13"/>
    </row>
    <row r="101" spans="7:15" ht="12.75" customHeight="1" x14ac:dyDescent="0.2">
      <c r="M101" s="14"/>
      <c r="N101" s="13"/>
      <c r="O101" s="13"/>
    </row>
    <row r="102" spans="7:15" ht="12.75" customHeight="1" x14ac:dyDescent="0.2">
      <c r="M102" s="14"/>
      <c r="N102" s="13"/>
      <c r="O102" s="13"/>
    </row>
    <row r="103" spans="7:15" ht="12.75" customHeight="1" x14ac:dyDescent="0.2">
      <c r="M103" s="14"/>
      <c r="N103" s="13"/>
      <c r="O103" s="13"/>
    </row>
    <row r="104" spans="7:15" ht="12.75" customHeight="1" x14ac:dyDescent="0.2">
      <c r="M104" s="14"/>
      <c r="N104" s="13"/>
      <c r="O104" s="13"/>
    </row>
    <row r="105" spans="7:15" ht="12.75" customHeight="1" x14ac:dyDescent="0.2">
      <c r="M105" s="14"/>
      <c r="N105" s="13"/>
      <c r="O105" s="13"/>
    </row>
    <row r="106" spans="7:15" ht="12.75" customHeight="1" x14ac:dyDescent="0.2">
      <c r="M106" s="14"/>
      <c r="N106" s="13"/>
      <c r="O106" s="13"/>
    </row>
    <row r="107" spans="7:15" ht="12.75" customHeight="1" x14ac:dyDescent="0.2">
      <c r="M107" s="14"/>
      <c r="N107" s="13"/>
      <c r="O107" s="13"/>
    </row>
    <row r="108" spans="7:15" ht="12.75" customHeight="1" x14ac:dyDescent="0.2">
      <c r="M108" s="14"/>
      <c r="N108" s="13"/>
      <c r="O108" s="13"/>
    </row>
    <row r="109" spans="7:15" ht="12.75" customHeight="1" x14ac:dyDescent="0.2">
      <c r="M109" s="14"/>
      <c r="N109" s="13"/>
      <c r="O109" s="13"/>
    </row>
    <row r="110" spans="7:15" ht="12.75" customHeight="1" x14ac:dyDescent="0.2">
      <c r="M110" s="14"/>
      <c r="N110" s="13"/>
      <c r="O110" s="13"/>
    </row>
    <row r="111" spans="7:15" ht="12.75" customHeight="1" x14ac:dyDescent="0.2">
      <c r="O111" s="13"/>
    </row>
    <row r="112" spans="7:15" ht="12.75" customHeight="1" x14ac:dyDescent="0.2">
      <c r="O112" s="13"/>
    </row>
    <row r="113" spans="15:15" ht="12.75" customHeight="1" x14ac:dyDescent="0.2">
      <c r="O113" s="17"/>
    </row>
    <row r="114" spans="15:15" ht="12.75" customHeight="1" x14ac:dyDescent="0.2">
      <c r="O114" s="17"/>
    </row>
    <row r="115" spans="15:15" ht="12.75" customHeight="1" x14ac:dyDescent="0.2">
      <c r="O115" s="18"/>
    </row>
  </sheetData>
  <sheetProtection password="C294" sheet="1" objects="1" scenarios="1" selectLockedCells="1"/>
  <mergeCells count="197">
    <mergeCell ref="I54:L54"/>
    <mergeCell ref="I55:L55"/>
    <mergeCell ref="I56:L56"/>
    <mergeCell ref="I44:L44"/>
    <mergeCell ref="I45:L45"/>
    <mergeCell ref="I46:L46"/>
    <mergeCell ref="I47:L47"/>
    <mergeCell ref="S48:T48"/>
    <mergeCell ref="S49:T49"/>
    <mergeCell ref="S50:T50"/>
    <mergeCell ref="S51:T51"/>
    <mergeCell ref="S44:T44"/>
    <mergeCell ref="S45:T45"/>
    <mergeCell ref="S46:T46"/>
    <mergeCell ref="S47:T47"/>
    <mergeCell ref="I49:L49"/>
    <mergeCell ref="S23:T23"/>
    <mergeCell ref="S24:T24"/>
    <mergeCell ref="S11:T11"/>
    <mergeCell ref="S12:T12"/>
    <mergeCell ref="S14:T14"/>
    <mergeCell ref="S15:T15"/>
    <mergeCell ref="S34:T34"/>
    <mergeCell ref="I51:L51"/>
    <mergeCell ref="I52:L52"/>
    <mergeCell ref="L43:M43"/>
    <mergeCell ref="L42:M42"/>
    <mergeCell ref="L41:M41"/>
    <mergeCell ref="L40:M40"/>
    <mergeCell ref="L39:M39"/>
    <mergeCell ref="L35:M35"/>
    <mergeCell ref="L11:M11"/>
    <mergeCell ref="L12:M12"/>
    <mergeCell ref="L13:M13"/>
    <mergeCell ref="L14:M14"/>
    <mergeCell ref="L15:M15"/>
    <mergeCell ref="L16:M16"/>
    <mergeCell ref="L17:M17"/>
    <mergeCell ref="L38:M38"/>
    <mergeCell ref="L37:M37"/>
    <mergeCell ref="L36:M36"/>
    <mergeCell ref="L26:M26"/>
    <mergeCell ref="L27:M27"/>
    <mergeCell ref="I34:N34"/>
    <mergeCell ref="L28:M28"/>
    <mergeCell ref="L29:M29"/>
    <mergeCell ref="L30:M30"/>
    <mergeCell ref="L31:M31"/>
    <mergeCell ref="P2:V2"/>
    <mergeCell ref="A20:C20"/>
    <mergeCell ref="A21:C21"/>
    <mergeCell ref="I10:N10"/>
    <mergeCell ref="L18:M18"/>
    <mergeCell ref="L19:M19"/>
    <mergeCell ref="L20:M20"/>
    <mergeCell ref="L21:M21"/>
    <mergeCell ref="L22:M22"/>
    <mergeCell ref="E10:F10"/>
    <mergeCell ref="A10:C10"/>
    <mergeCell ref="S3:T3"/>
    <mergeCell ref="S4:T4"/>
    <mergeCell ref="S5:T5"/>
    <mergeCell ref="S6:T6"/>
    <mergeCell ref="S13:T13"/>
    <mergeCell ref="S28:T28"/>
    <mergeCell ref="S21:T21"/>
    <mergeCell ref="S22:T22"/>
    <mergeCell ref="A1:N1"/>
    <mergeCell ref="A11:C11"/>
    <mergeCell ref="A7:C7"/>
    <mergeCell ref="A6:C6"/>
    <mergeCell ref="A8:C8"/>
    <mergeCell ref="A25:C25"/>
    <mergeCell ref="A12:C12"/>
    <mergeCell ref="A16:C16"/>
    <mergeCell ref="E14:F14"/>
    <mergeCell ref="K2:N2"/>
    <mergeCell ref="K3:N3"/>
    <mergeCell ref="B3:I3"/>
    <mergeCell ref="L23:M23"/>
    <mergeCell ref="L24:M24"/>
    <mergeCell ref="L25:M25"/>
    <mergeCell ref="B2:I2"/>
    <mergeCell ref="A9:F9"/>
    <mergeCell ref="I9:N9"/>
    <mergeCell ref="A4:C4"/>
    <mergeCell ref="A5:C5"/>
    <mergeCell ref="E8:F8"/>
    <mergeCell ref="E7:F7"/>
    <mergeCell ref="E6:F6"/>
    <mergeCell ref="E5:F5"/>
    <mergeCell ref="C28:D28"/>
    <mergeCell ref="C27:D27"/>
    <mergeCell ref="E15:F15"/>
    <mergeCell ref="A26:C26"/>
    <mergeCell ref="E26:F26"/>
    <mergeCell ref="E21:F21"/>
    <mergeCell ref="E20:F20"/>
    <mergeCell ref="E18:F18"/>
    <mergeCell ref="E16:F16"/>
    <mergeCell ref="E23:F23"/>
    <mergeCell ref="E24:F24"/>
    <mergeCell ref="E25:F25"/>
    <mergeCell ref="E28:F28"/>
    <mergeCell ref="E27:F27"/>
    <mergeCell ref="E22:F22"/>
    <mergeCell ref="A22:C22"/>
    <mergeCell ref="A15:C15"/>
    <mergeCell ref="A17:C17"/>
    <mergeCell ref="E17:F17"/>
    <mergeCell ref="A19:C19"/>
    <mergeCell ref="E19:F19"/>
    <mergeCell ref="A24:C24"/>
    <mergeCell ref="A23:C23"/>
    <mergeCell ref="P36:V36"/>
    <mergeCell ref="S37:T37"/>
    <mergeCell ref="S38:T38"/>
    <mergeCell ref="S39:T39"/>
    <mergeCell ref="E56:F56"/>
    <mergeCell ref="F54:H54"/>
    <mergeCell ref="E37:F37"/>
    <mergeCell ref="E38:F38"/>
    <mergeCell ref="S7:T7"/>
    <mergeCell ref="S8:T8"/>
    <mergeCell ref="S9:T9"/>
    <mergeCell ref="S10:T10"/>
    <mergeCell ref="S33:T33"/>
    <mergeCell ref="S20:T20"/>
    <mergeCell ref="S16:T16"/>
    <mergeCell ref="S17:T17"/>
    <mergeCell ref="P19:V19"/>
    <mergeCell ref="S25:T25"/>
    <mergeCell ref="S26:T26"/>
    <mergeCell ref="S27:T27"/>
    <mergeCell ref="S29:T29"/>
    <mergeCell ref="S30:T30"/>
    <mergeCell ref="S31:T31"/>
    <mergeCell ref="S32:T32"/>
    <mergeCell ref="E46:F46"/>
    <mergeCell ref="E45:F45"/>
    <mergeCell ref="E44:F44"/>
    <mergeCell ref="E43:F43"/>
    <mergeCell ref="E39:F39"/>
    <mergeCell ref="A45:C45"/>
    <mergeCell ref="A47:C47"/>
    <mergeCell ref="S40:T40"/>
    <mergeCell ref="S41:T41"/>
    <mergeCell ref="S42:T42"/>
    <mergeCell ref="S43:T43"/>
    <mergeCell ref="C29:D29"/>
    <mergeCell ref="A55:C55"/>
    <mergeCell ref="F55:H55"/>
    <mergeCell ref="A51:C51"/>
    <mergeCell ref="A52:C52"/>
    <mergeCell ref="A56:C56"/>
    <mergeCell ref="A48:N48"/>
    <mergeCell ref="E52:F52"/>
    <mergeCell ref="E51:F51"/>
    <mergeCell ref="E50:F50"/>
    <mergeCell ref="E49:F49"/>
    <mergeCell ref="A53:N53"/>
    <mergeCell ref="I50:L50"/>
    <mergeCell ref="A39:C39"/>
    <mergeCell ref="A44:C44"/>
    <mergeCell ref="D40:E40"/>
    <mergeCell ref="D41:E41"/>
    <mergeCell ref="D42:E42"/>
    <mergeCell ref="A46:C46"/>
    <mergeCell ref="A43:C43"/>
    <mergeCell ref="A49:C49"/>
    <mergeCell ref="A54:C54"/>
    <mergeCell ref="A50:C50"/>
    <mergeCell ref="E47:F47"/>
    <mergeCell ref="A37:C37"/>
    <mergeCell ref="A38:C38"/>
    <mergeCell ref="E13:F13"/>
    <mergeCell ref="E12:F12"/>
    <mergeCell ref="E11:F11"/>
    <mergeCell ref="E4:F4"/>
    <mergeCell ref="A13:C13"/>
    <mergeCell ref="A14:C14"/>
    <mergeCell ref="A18:C18"/>
    <mergeCell ref="A36:C36"/>
    <mergeCell ref="E36:F36"/>
    <mergeCell ref="E35:F35"/>
    <mergeCell ref="E34:F34"/>
    <mergeCell ref="E33:F33"/>
    <mergeCell ref="E32:F32"/>
    <mergeCell ref="E31:F31"/>
    <mergeCell ref="A30:C30"/>
    <mergeCell ref="E30:F30"/>
    <mergeCell ref="A35:C35"/>
    <mergeCell ref="E29:F29"/>
    <mergeCell ref="A32:C32"/>
    <mergeCell ref="A31:C31"/>
    <mergeCell ref="A33:C33"/>
    <mergeCell ref="A34:C34"/>
  </mergeCells>
  <phoneticPr fontId="0" type="noConversion"/>
  <printOptions horizontalCentered="1"/>
  <pageMargins left="0.25" right="0.25" top="0.25" bottom="0.25" header="0" footer="0"/>
  <pageSetup orientation="portrait" horizontalDpi="4294967292" r:id="rId1"/>
  <headerFooter alignWithMargins="0"/>
  <ignoredErrors>
    <ignoredError sqref="E50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AHU Selection Worksheet</vt:lpstr>
      <vt:lpstr>'AHU Selection Worksheet'!Print_Area</vt:lpstr>
    </vt:vector>
  </TitlesOfParts>
  <Company>smith seckman reid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cp:lastPrinted>2012-10-07T04:24:40Z</cp:lastPrinted>
  <dcterms:created xsi:type="dcterms:W3CDTF">1998-05-14T22:32:08Z</dcterms:created>
  <dcterms:modified xsi:type="dcterms:W3CDTF">2015-08-24T15:57:41Z</dcterms:modified>
</cp:coreProperties>
</file>